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jcc\aocdata\divisions\BMS\OCR\Workload Formula\Workload Formula Allocations\2024-25\Need\"/>
    </mc:Choice>
  </mc:AlternateContent>
  <xr:revisionPtr revIDLastSave="0" documentId="13_ncr:1_{A2A70949-F7FB-4A70-85A3-8DF94535AE17}" xr6:coauthVersionLast="47" xr6:coauthVersionMax="47" xr10:uidLastSave="{00000000-0000-0000-0000-000000000000}"/>
  <bookViews>
    <workbookView xWindow="-108" yWindow="-108" windowWidth="23256" windowHeight="14016"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4" i="41" l="1"/>
  <c r="S8" i="83"/>
  <c r="S9" i="83"/>
  <c r="S10" i="83"/>
  <c r="S11" i="83"/>
  <c r="S12" i="83"/>
  <c r="S13" i="83"/>
  <c r="S14" i="83"/>
  <c r="S15" i="83"/>
  <c r="S16" i="83"/>
  <c r="S17" i="83"/>
  <c r="S18" i="83"/>
  <c r="S19" i="83"/>
  <c r="S20" i="83"/>
  <c r="S21" i="83"/>
  <c r="S22" i="83"/>
  <c r="S23" i="83"/>
  <c r="S24" i="83"/>
  <c r="S25" i="83"/>
  <c r="S26" i="83"/>
  <c r="S27" i="83"/>
  <c r="S28" i="83"/>
  <c r="S29" i="83"/>
  <c r="S30" i="83"/>
  <c r="S31" i="83"/>
  <c r="S32" i="83"/>
  <c r="S33" i="83"/>
  <c r="S34" i="83"/>
  <c r="S35" i="83"/>
  <c r="S36" i="83"/>
  <c r="S37" i="83"/>
  <c r="S38" i="83"/>
  <c r="S39" i="83"/>
  <c r="S40" i="83"/>
  <c r="S41" i="83"/>
  <c r="S42" i="83"/>
  <c r="S43" i="83"/>
  <c r="S44" i="83"/>
  <c r="S45" i="83"/>
  <c r="S46" i="83"/>
  <c r="S47" i="83"/>
  <c r="S48" i="83"/>
  <c r="S49" i="83"/>
  <c r="S50" i="83"/>
  <c r="S51" i="83"/>
  <c r="S52" i="83"/>
  <c r="S53" i="83"/>
  <c r="S54" i="83"/>
  <c r="S55" i="83"/>
  <c r="S56" i="83"/>
  <c r="S57" i="83"/>
  <c r="S58" i="83"/>
  <c r="S59" i="83"/>
  <c r="S60" i="83"/>
  <c r="S61" i="83"/>
  <c r="S62" i="83"/>
  <c r="S63" i="83"/>
  <c r="S64" i="83"/>
  <c r="S7" i="83"/>
  <c r="Q15" i="83"/>
  <c r="Q16" i="83"/>
  <c r="Q17" i="83"/>
  <c r="Q18" i="83"/>
  <c r="Q19" i="83"/>
  <c r="Q20" i="83"/>
  <c r="Q21" i="83"/>
  <c r="Q22" i="83"/>
  <c r="Q23" i="83"/>
  <c r="Q24" i="83"/>
  <c r="Q25" i="83"/>
  <c r="Q26" i="83"/>
  <c r="Q27" i="83"/>
  <c r="Q28" i="83"/>
  <c r="Q29" i="83"/>
  <c r="Q30" i="83"/>
  <c r="Q31" i="83"/>
  <c r="Q32" i="83"/>
  <c r="Q33" i="83"/>
  <c r="Q34" i="83"/>
  <c r="Q35" i="83"/>
  <c r="Q36" i="83"/>
  <c r="Q37" i="83"/>
  <c r="Q38" i="83"/>
  <c r="Q39" i="83"/>
  <c r="Q40" i="83"/>
  <c r="Q41" i="83"/>
  <c r="Q42" i="83"/>
  <c r="Q43" i="83"/>
  <c r="Q44" i="83"/>
  <c r="Q45" i="83"/>
  <c r="Q46" i="83"/>
  <c r="Q47" i="83"/>
  <c r="Q48" i="83"/>
  <c r="Q49" i="83"/>
  <c r="Q50" i="83"/>
  <c r="Q51" i="83"/>
  <c r="Q52" i="83"/>
  <c r="Q53" i="83"/>
  <c r="Q54" i="83"/>
  <c r="Q55" i="83"/>
  <c r="Q56" i="83"/>
  <c r="Q57" i="83"/>
  <c r="Q58" i="83"/>
  <c r="Q59" i="83"/>
  <c r="Q60" i="83"/>
  <c r="Q61" i="83"/>
  <c r="Q62" i="83"/>
  <c r="Q63" i="83"/>
  <c r="Q64" i="83"/>
  <c r="Q12" i="83"/>
  <c r="Q13" i="83"/>
  <c r="Q14" i="83"/>
  <c r="Q8" i="83"/>
  <c r="Q9" i="83"/>
  <c r="Q10" i="83"/>
  <c r="Q11" i="83"/>
  <c r="Q7" i="83"/>
  <c r="M8" i="83"/>
  <c r="M9" i="83"/>
  <c r="M10" i="83"/>
  <c r="M11" i="83"/>
  <c r="M12" i="83"/>
  <c r="M13" i="83"/>
  <c r="M14" i="83"/>
  <c r="M15" i="83"/>
  <c r="M16" i="83"/>
  <c r="M17" i="83"/>
  <c r="M18" i="83"/>
  <c r="M19" i="83"/>
  <c r="M20" i="83"/>
  <c r="M21" i="83"/>
  <c r="M22" i="83"/>
  <c r="M23" i="83"/>
  <c r="M24" i="83"/>
  <c r="M25" i="83"/>
  <c r="M26" i="83"/>
  <c r="M27" i="83"/>
  <c r="M28" i="83"/>
  <c r="M29" i="83"/>
  <c r="M30" i="83"/>
  <c r="M31" i="83"/>
  <c r="M32" i="83"/>
  <c r="M33" i="83"/>
  <c r="M34" i="83"/>
  <c r="M35" i="83"/>
  <c r="M36" i="83"/>
  <c r="M37" i="83"/>
  <c r="M38" i="83"/>
  <c r="M39" i="83"/>
  <c r="M40" i="83"/>
  <c r="M41" i="83"/>
  <c r="M42" i="83"/>
  <c r="M43" i="83"/>
  <c r="M44" i="83"/>
  <c r="M45" i="83"/>
  <c r="M46" i="83"/>
  <c r="M47" i="83"/>
  <c r="M48" i="83"/>
  <c r="M49" i="83"/>
  <c r="M50" i="83"/>
  <c r="M51" i="83"/>
  <c r="M52" i="83"/>
  <c r="M53" i="83"/>
  <c r="M54" i="83"/>
  <c r="M55" i="83"/>
  <c r="M56" i="83"/>
  <c r="M57" i="83"/>
  <c r="M58" i="83"/>
  <c r="M59" i="83"/>
  <c r="M60" i="83"/>
  <c r="M61" i="83"/>
  <c r="M62" i="83"/>
  <c r="M63" i="83"/>
  <c r="M64" i="83"/>
  <c r="M7" i="83"/>
  <c r="L8" i="83"/>
  <c r="L9" i="83"/>
  <c r="L10" i="83"/>
  <c r="L11" i="83"/>
  <c r="L12" i="83"/>
  <c r="L13" i="83"/>
  <c r="L14" i="83"/>
  <c r="L15" i="83"/>
  <c r="L16" i="83"/>
  <c r="L17" i="83"/>
  <c r="L18" i="83"/>
  <c r="L19" i="83"/>
  <c r="L20" i="83"/>
  <c r="L21" i="83"/>
  <c r="L22" i="83"/>
  <c r="L23" i="83"/>
  <c r="L24" i="83"/>
  <c r="L25" i="83"/>
  <c r="L26" i="83"/>
  <c r="L27" i="83"/>
  <c r="L28" i="83"/>
  <c r="L29" i="83"/>
  <c r="L30" i="83"/>
  <c r="L31" i="83"/>
  <c r="L32" i="83"/>
  <c r="L33" i="83"/>
  <c r="L34" i="83"/>
  <c r="L35" i="83"/>
  <c r="L36" i="83"/>
  <c r="L37" i="83"/>
  <c r="L38" i="83"/>
  <c r="L39" i="83"/>
  <c r="L40" i="83"/>
  <c r="L41" i="83"/>
  <c r="L42" i="83"/>
  <c r="L43" i="83"/>
  <c r="L44" i="83"/>
  <c r="L45" i="83"/>
  <c r="L46" i="83"/>
  <c r="L47" i="83"/>
  <c r="L48" i="83"/>
  <c r="L49" i="83"/>
  <c r="L50" i="83"/>
  <c r="L51" i="83"/>
  <c r="L52" i="83"/>
  <c r="L53" i="83"/>
  <c r="L54" i="83"/>
  <c r="L55" i="83"/>
  <c r="L56" i="83"/>
  <c r="L57" i="83"/>
  <c r="L58" i="83"/>
  <c r="L59" i="83"/>
  <c r="L60" i="83"/>
  <c r="L61" i="83"/>
  <c r="L62" i="83"/>
  <c r="L63" i="83"/>
  <c r="L64" i="83"/>
  <c r="L7" i="83"/>
  <c r="I8" i="83"/>
  <c r="I9" i="83"/>
  <c r="I10" i="83"/>
  <c r="I11" i="83"/>
  <c r="I12" i="83"/>
  <c r="I13" i="83"/>
  <c r="I14" i="83"/>
  <c r="I15" i="83"/>
  <c r="I16" i="83"/>
  <c r="I17" i="83"/>
  <c r="I18" i="83"/>
  <c r="I19" i="83"/>
  <c r="I20" i="83"/>
  <c r="I21" i="83"/>
  <c r="I22" i="83"/>
  <c r="I23" i="83"/>
  <c r="I24" i="83"/>
  <c r="I25" i="83"/>
  <c r="I26" i="83"/>
  <c r="I27" i="83"/>
  <c r="I28" i="83"/>
  <c r="I29" i="83"/>
  <c r="I30" i="83"/>
  <c r="I31" i="83"/>
  <c r="I32" i="83"/>
  <c r="I33" i="83"/>
  <c r="I34" i="83"/>
  <c r="I35" i="83"/>
  <c r="I36" i="83"/>
  <c r="I37" i="83"/>
  <c r="I38" i="83"/>
  <c r="I39" i="83"/>
  <c r="I40" i="83"/>
  <c r="I41" i="83"/>
  <c r="I42" i="83"/>
  <c r="I43" i="83"/>
  <c r="I44" i="83"/>
  <c r="I45" i="83"/>
  <c r="I46" i="83"/>
  <c r="I47" i="83"/>
  <c r="I48" i="83"/>
  <c r="I49" i="83"/>
  <c r="I50" i="83"/>
  <c r="I51" i="83"/>
  <c r="I52" i="83"/>
  <c r="I53" i="83"/>
  <c r="I54" i="83"/>
  <c r="I55" i="83"/>
  <c r="I56" i="83"/>
  <c r="I57" i="83"/>
  <c r="I58" i="83"/>
  <c r="I59" i="83"/>
  <c r="I60" i="83"/>
  <c r="I61" i="83"/>
  <c r="I62" i="83"/>
  <c r="I63" i="83"/>
  <c r="I64" i="83"/>
  <c r="I7" i="83"/>
  <c r="I65" i="83" l="1"/>
  <c r="H13" i="145" l="1"/>
  <c r="E65" i="145"/>
  <c r="D7" i="41"/>
  <c r="E7" i="41"/>
  <c r="F7" i="41" s="1"/>
  <c r="H11" i="145"/>
  <c r="H9" i="145"/>
  <c r="H7" i="145"/>
  <c r="C6" i="72"/>
  <c r="C6" i="80"/>
  <c r="D6" i="80"/>
  <c r="C7" i="80"/>
  <c r="F7" i="80" s="1"/>
  <c r="D7" i="80"/>
  <c r="C8" i="80"/>
  <c r="D8" i="80"/>
  <c r="C9" i="80"/>
  <c r="D9" i="80"/>
  <c r="C10" i="80"/>
  <c r="D10" i="80"/>
  <c r="C11" i="80"/>
  <c r="D11" i="80"/>
  <c r="C12" i="80"/>
  <c r="D12" i="80"/>
  <c r="C13" i="80"/>
  <c r="D13" i="80"/>
  <c r="C14" i="80"/>
  <c r="D14" i="80"/>
  <c r="C15" i="80"/>
  <c r="D15" i="80"/>
  <c r="C16" i="80"/>
  <c r="D16" i="80"/>
  <c r="C17" i="80"/>
  <c r="D17" i="80"/>
  <c r="C18" i="80"/>
  <c r="D18" i="80"/>
  <c r="C19" i="80"/>
  <c r="D19" i="80"/>
  <c r="F19" i="80"/>
  <c r="C20" i="80"/>
  <c r="D20" i="80"/>
  <c r="C21" i="80"/>
  <c r="D21" i="80"/>
  <c r="F21" i="80" s="1"/>
  <c r="C22" i="80"/>
  <c r="D22" i="80"/>
  <c r="C23" i="80"/>
  <c r="D23" i="80"/>
  <c r="C24" i="80"/>
  <c r="F24" i="80" s="1"/>
  <c r="D24" i="80"/>
  <c r="C25" i="80"/>
  <c r="F25" i="80" s="1"/>
  <c r="D25" i="80"/>
  <c r="C26" i="80"/>
  <c r="D26" i="80"/>
  <c r="C27" i="80"/>
  <c r="D27" i="80"/>
  <c r="C28" i="80"/>
  <c r="D28" i="80"/>
  <c r="C29" i="80"/>
  <c r="F29" i="80" s="1"/>
  <c r="D29" i="80"/>
  <c r="C30" i="80"/>
  <c r="D30" i="80"/>
  <c r="C31" i="80"/>
  <c r="D31" i="80"/>
  <c r="C32" i="80"/>
  <c r="D32" i="80"/>
  <c r="C33" i="80"/>
  <c r="D33" i="80"/>
  <c r="F33" i="80"/>
  <c r="C34" i="80"/>
  <c r="D34" i="80"/>
  <c r="C35" i="80"/>
  <c r="F35" i="80" s="1"/>
  <c r="D35" i="80"/>
  <c r="C36" i="80"/>
  <c r="D36" i="80"/>
  <c r="C37" i="80"/>
  <c r="D37" i="80"/>
  <c r="F37" i="80" s="1"/>
  <c r="C38" i="80"/>
  <c r="D38" i="80"/>
  <c r="C39" i="80"/>
  <c r="D39" i="80"/>
  <c r="C40" i="80"/>
  <c r="D40" i="80"/>
  <c r="C41" i="80"/>
  <c r="D41" i="80"/>
  <c r="C42" i="80"/>
  <c r="D42" i="80"/>
  <c r="C43" i="80"/>
  <c r="D43" i="80"/>
  <c r="C44" i="80"/>
  <c r="F44" i="80" s="1"/>
  <c r="D44" i="80"/>
  <c r="C45" i="80"/>
  <c r="D45" i="80"/>
  <c r="F45" i="80"/>
  <c r="C46" i="80"/>
  <c r="D46" i="80"/>
  <c r="C47" i="80"/>
  <c r="F47" i="80" s="1"/>
  <c r="D47" i="80"/>
  <c r="C48" i="80"/>
  <c r="D48" i="80"/>
  <c r="C49" i="80"/>
  <c r="D49" i="80"/>
  <c r="C50" i="80"/>
  <c r="D50" i="80"/>
  <c r="C51" i="80"/>
  <c r="D51" i="80"/>
  <c r="F51" i="80" s="1"/>
  <c r="C52" i="80"/>
  <c r="D52" i="80"/>
  <c r="C53" i="80"/>
  <c r="D53" i="80"/>
  <c r="C54" i="80"/>
  <c r="D54" i="80"/>
  <c r="C55" i="80"/>
  <c r="D55" i="80"/>
  <c r="C56" i="80"/>
  <c r="D56" i="80"/>
  <c r="F56" i="80" s="1"/>
  <c r="C57" i="80"/>
  <c r="D57" i="80"/>
  <c r="C58" i="80"/>
  <c r="D58" i="80"/>
  <c r="F58" i="80" s="1"/>
  <c r="C59" i="80"/>
  <c r="D59" i="80"/>
  <c r="C60" i="80"/>
  <c r="F60" i="80" s="1"/>
  <c r="D60" i="80"/>
  <c r="C61" i="80"/>
  <c r="D61" i="80"/>
  <c r="F61" i="80" s="1"/>
  <c r="C62" i="80"/>
  <c r="D62" i="80"/>
  <c r="F62" i="80" s="1"/>
  <c r="C63" i="80"/>
  <c r="D63" i="80"/>
  <c r="E8" i="41"/>
  <c r="D8" i="41"/>
  <c r="C7" i="72"/>
  <c r="E9" i="41"/>
  <c r="F9" i="41" s="1"/>
  <c r="E8" i="72" s="1"/>
  <c r="F8" i="72" s="1"/>
  <c r="D9" i="41"/>
  <c r="D65" i="41" s="1"/>
  <c r="C8" i="72"/>
  <c r="E10" i="41"/>
  <c r="D10" i="41"/>
  <c r="F10" i="41"/>
  <c r="E9" i="72" s="1"/>
  <c r="F9" i="72" s="1"/>
  <c r="C9" i="72"/>
  <c r="E11" i="41"/>
  <c r="D11" i="41"/>
  <c r="C10" i="72"/>
  <c r="E12" i="41"/>
  <c r="F12" i="41" s="1"/>
  <c r="D12" i="41"/>
  <c r="C11" i="72"/>
  <c r="E13" i="41"/>
  <c r="D13" i="41"/>
  <c r="F13" i="41"/>
  <c r="E12" i="72" s="1"/>
  <c r="F12" i="72" s="1"/>
  <c r="C12" i="72"/>
  <c r="E14" i="41"/>
  <c r="D14" i="41"/>
  <c r="F14" i="41"/>
  <c r="E13" i="72"/>
  <c r="F13" i="72" s="1"/>
  <c r="C13" i="72"/>
  <c r="E15" i="41"/>
  <c r="D15" i="41"/>
  <c r="C14" i="72"/>
  <c r="E16" i="41"/>
  <c r="F16" i="41" s="1"/>
  <c r="D16" i="41"/>
  <c r="C15" i="72"/>
  <c r="E17" i="41"/>
  <c r="F17" i="41" s="1"/>
  <c r="E16" i="72" s="1"/>
  <c r="F16" i="72" s="1"/>
  <c r="D17" i="41"/>
  <c r="C16" i="72"/>
  <c r="E18" i="41"/>
  <c r="F18" i="41" s="1"/>
  <c r="D18" i="41"/>
  <c r="C17" i="72"/>
  <c r="E19" i="41"/>
  <c r="D19" i="41"/>
  <c r="C18" i="72"/>
  <c r="E20" i="41"/>
  <c r="D20" i="41"/>
  <c r="F20" i="41"/>
  <c r="E19" i="72" s="1"/>
  <c r="F19" i="72" s="1"/>
  <c r="C19" i="72"/>
  <c r="E21" i="41"/>
  <c r="F21" i="41" s="1"/>
  <c r="E20" i="72" s="1"/>
  <c r="F20" i="72" s="1"/>
  <c r="D21" i="41"/>
  <c r="C20" i="72"/>
  <c r="E22" i="41"/>
  <c r="F22" i="41" s="1"/>
  <c r="D22" i="41"/>
  <c r="C21" i="72"/>
  <c r="E23" i="41"/>
  <c r="D23" i="41"/>
  <c r="C22" i="72"/>
  <c r="E24" i="41"/>
  <c r="F24" i="41" s="1"/>
  <c r="D24" i="41"/>
  <c r="C23" i="72"/>
  <c r="E25" i="41"/>
  <c r="F25" i="41" s="1"/>
  <c r="E24" i="72" s="1"/>
  <c r="F24" i="72" s="1"/>
  <c r="D25" i="41"/>
  <c r="C24" i="72"/>
  <c r="E26" i="41"/>
  <c r="F26" i="41" s="1"/>
  <c r="D26" i="41"/>
  <c r="C25" i="72"/>
  <c r="E27" i="41"/>
  <c r="D27" i="41"/>
  <c r="C26" i="72"/>
  <c r="E28" i="41"/>
  <c r="F28" i="41" s="1"/>
  <c r="D28" i="41"/>
  <c r="C27" i="72"/>
  <c r="E29" i="41"/>
  <c r="F29" i="41" s="1"/>
  <c r="E28" i="72" s="1"/>
  <c r="F28" i="72" s="1"/>
  <c r="D29" i="41"/>
  <c r="C28" i="72"/>
  <c r="E30" i="41"/>
  <c r="D30" i="41"/>
  <c r="F30" i="41"/>
  <c r="E29" i="72" s="1"/>
  <c r="F29" i="72" s="1"/>
  <c r="C29" i="72"/>
  <c r="E31" i="41"/>
  <c r="D31" i="41"/>
  <c r="F31" i="41" s="1"/>
  <c r="C30" i="72"/>
  <c r="E32" i="41"/>
  <c r="D32" i="41"/>
  <c r="F32" i="41"/>
  <c r="E31" i="72" s="1"/>
  <c r="F31" i="72" s="1"/>
  <c r="C31" i="72"/>
  <c r="E33" i="41"/>
  <c r="F33" i="41" s="1"/>
  <c r="E32" i="72" s="1"/>
  <c r="F32" i="72" s="1"/>
  <c r="D33" i="41"/>
  <c r="C32" i="72"/>
  <c r="E34" i="41"/>
  <c r="D34" i="41"/>
  <c r="F34" i="41"/>
  <c r="Y34" i="41" s="1"/>
  <c r="C33" i="72"/>
  <c r="E35" i="41"/>
  <c r="D35" i="41"/>
  <c r="C34" i="72"/>
  <c r="E36" i="41"/>
  <c r="F36" i="41" s="1"/>
  <c r="D36" i="41"/>
  <c r="C35" i="72"/>
  <c r="E37" i="41"/>
  <c r="D37" i="41"/>
  <c r="F37" i="41"/>
  <c r="E36" i="72" s="1"/>
  <c r="F36" i="72" s="1"/>
  <c r="C36" i="72"/>
  <c r="E38" i="41"/>
  <c r="F38" i="41" s="1"/>
  <c r="D38" i="41"/>
  <c r="C37" i="72"/>
  <c r="E39" i="41"/>
  <c r="D39" i="41"/>
  <c r="C38" i="72"/>
  <c r="E40" i="41"/>
  <c r="F40" i="41" s="1"/>
  <c r="D40" i="41"/>
  <c r="C39" i="72"/>
  <c r="E41" i="41"/>
  <c r="F41" i="41" s="1"/>
  <c r="E40" i="72" s="1"/>
  <c r="F40" i="72" s="1"/>
  <c r="D41" i="41"/>
  <c r="C40" i="72"/>
  <c r="E42" i="41"/>
  <c r="F42" i="41" s="1"/>
  <c r="D42" i="41"/>
  <c r="C41" i="72"/>
  <c r="E43" i="41"/>
  <c r="D43" i="41"/>
  <c r="C42" i="72"/>
  <c r="E44" i="41"/>
  <c r="D44" i="41"/>
  <c r="F44" i="41"/>
  <c r="Y44" i="41" s="1"/>
  <c r="E43" i="72"/>
  <c r="F43" i="72" s="1"/>
  <c r="C43" i="72"/>
  <c r="E45" i="41"/>
  <c r="D45" i="41"/>
  <c r="F45" i="41"/>
  <c r="E44" i="72" s="1"/>
  <c r="F44" i="72" s="1"/>
  <c r="C44" i="72"/>
  <c r="E46" i="41"/>
  <c r="F46" i="41" s="1"/>
  <c r="D46" i="41"/>
  <c r="C45" i="72"/>
  <c r="E47" i="41"/>
  <c r="D47" i="41"/>
  <c r="C46" i="72"/>
  <c r="E48" i="41"/>
  <c r="D48" i="41"/>
  <c r="F48" i="41"/>
  <c r="E47" i="72" s="1"/>
  <c r="F47" i="72" s="1"/>
  <c r="C47" i="72"/>
  <c r="E49" i="41"/>
  <c r="F49" i="41" s="1"/>
  <c r="E48" i="72" s="1"/>
  <c r="F48" i="72" s="1"/>
  <c r="D49" i="41"/>
  <c r="C48" i="72"/>
  <c r="E50" i="41"/>
  <c r="F50" i="41" s="1"/>
  <c r="D50" i="41"/>
  <c r="C49" i="72"/>
  <c r="E51" i="41"/>
  <c r="D51" i="41"/>
  <c r="F51" i="41" s="1"/>
  <c r="C50" i="72"/>
  <c r="E52" i="41"/>
  <c r="F52" i="41" s="1"/>
  <c r="D52" i="41"/>
  <c r="C51" i="72"/>
  <c r="E53" i="41"/>
  <c r="D53" i="41"/>
  <c r="F53" i="41"/>
  <c r="E52" i="72" s="1"/>
  <c r="F52" i="72" s="1"/>
  <c r="C52" i="72"/>
  <c r="E54" i="41"/>
  <c r="F54" i="41" s="1"/>
  <c r="D54" i="41"/>
  <c r="C53" i="72"/>
  <c r="E55" i="41"/>
  <c r="D55" i="41"/>
  <c r="C54" i="72"/>
  <c r="E56" i="41"/>
  <c r="D56" i="41"/>
  <c r="F56" i="41"/>
  <c r="Y56" i="41" s="1"/>
  <c r="C55" i="72"/>
  <c r="E57" i="41"/>
  <c r="D57" i="41"/>
  <c r="F57" i="41"/>
  <c r="E56" i="72" s="1"/>
  <c r="F56" i="72" s="1"/>
  <c r="C56" i="72"/>
  <c r="E58" i="41"/>
  <c r="F58" i="41" s="1"/>
  <c r="D58" i="41"/>
  <c r="C57" i="72"/>
  <c r="E59" i="41"/>
  <c r="D59" i="41"/>
  <c r="F59" i="41" s="1"/>
  <c r="C58" i="72"/>
  <c r="E60" i="41"/>
  <c r="D60" i="41"/>
  <c r="F60" i="41"/>
  <c r="E59" i="72"/>
  <c r="F59" i="72" s="1"/>
  <c r="C59" i="72"/>
  <c r="E61" i="41"/>
  <c r="F61" i="41" s="1"/>
  <c r="E60" i="72" s="1"/>
  <c r="F60" i="72" s="1"/>
  <c r="D61" i="41"/>
  <c r="C60" i="72"/>
  <c r="E62" i="41"/>
  <c r="D62" i="41"/>
  <c r="F62" i="41"/>
  <c r="E61" i="72" s="1"/>
  <c r="F61" i="72" s="1"/>
  <c r="C61" i="72"/>
  <c r="E63" i="41"/>
  <c r="D63" i="41"/>
  <c r="C62" i="72"/>
  <c r="E64" i="41"/>
  <c r="F64" i="41" s="1"/>
  <c r="D64" i="41"/>
  <c r="C63" i="72"/>
  <c r="N7" i="41"/>
  <c r="K7" i="41"/>
  <c r="N8" i="41"/>
  <c r="K8" i="41"/>
  <c r="G7" i="143"/>
  <c r="R7" i="41"/>
  <c r="F7" i="143"/>
  <c r="Q7" i="41"/>
  <c r="N52" i="41"/>
  <c r="F52" i="146"/>
  <c r="S52" i="41" s="1"/>
  <c r="G52" i="146"/>
  <c r="T52" i="41"/>
  <c r="K52" i="41"/>
  <c r="N59" i="41"/>
  <c r="L59" i="41" s="1"/>
  <c r="K59" i="41"/>
  <c r="N60" i="41"/>
  <c r="L60" i="41" s="1"/>
  <c r="K60" i="41"/>
  <c r="N61" i="41"/>
  <c r="L61" i="41" s="1"/>
  <c r="K61" i="41"/>
  <c r="N62" i="41"/>
  <c r="L62" i="41" s="1"/>
  <c r="K62" i="41"/>
  <c r="N63" i="41"/>
  <c r="K63" i="41"/>
  <c r="N64" i="41"/>
  <c r="K64" i="41"/>
  <c r="N53" i="41"/>
  <c r="K53" i="41"/>
  <c r="N54" i="41"/>
  <c r="L54" i="41" s="1"/>
  <c r="K54" i="41"/>
  <c r="N55" i="41"/>
  <c r="K55" i="41"/>
  <c r="N56" i="41"/>
  <c r="K56" i="41"/>
  <c r="N57" i="41"/>
  <c r="L57" i="41" s="1"/>
  <c r="K57" i="41"/>
  <c r="N58" i="41"/>
  <c r="L58" i="41" s="1"/>
  <c r="K58" i="41"/>
  <c r="N23" i="41"/>
  <c r="L23" i="41" s="1"/>
  <c r="K23" i="41"/>
  <c r="N24" i="41"/>
  <c r="L24" i="41" s="1"/>
  <c r="K24" i="41"/>
  <c r="N25" i="41"/>
  <c r="L25" i="41" s="1"/>
  <c r="K25" i="41"/>
  <c r="N26" i="41"/>
  <c r="L26" i="41" s="1"/>
  <c r="K26" i="41"/>
  <c r="N27" i="41"/>
  <c r="L27" i="41" s="1"/>
  <c r="K27" i="41"/>
  <c r="N28" i="41"/>
  <c r="L28" i="41" s="1"/>
  <c r="K28" i="41"/>
  <c r="N29" i="41"/>
  <c r="L29" i="41" s="1"/>
  <c r="K29" i="41"/>
  <c r="N30" i="41"/>
  <c r="K30" i="41"/>
  <c r="N31" i="41"/>
  <c r="L31" i="41" s="1"/>
  <c r="K31" i="41"/>
  <c r="N32" i="41"/>
  <c r="L32" i="41" s="1"/>
  <c r="K32" i="41"/>
  <c r="N33" i="41"/>
  <c r="L33" i="41" s="1"/>
  <c r="K33" i="41"/>
  <c r="N34" i="41"/>
  <c r="L34" i="41" s="1"/>
  <c r="K34" i="41"/>
  <c r="N35" i="41"/>
  <c r="L35" i="41" s="1"/>
  <c r="K35" i="41"/>
  <c r="N36" i="41"/>
  <c r="L36" i="41" s="1"/>
  <c r="K36" i="41"/>
  <c r="N37" i="41"/>
  <c r="L37" i="41" s="1"/>
  <c r="K37" i="41"/>
  <c r="N38" i="41"/>
  <c r="L38" i="41" s="1"/>
  <c r="K38" i="41"/>
  <c r="N39" i="41"/>
  <c r="L39" i="41" s="1"/>
  <c r="K39" i="41"/>
  <c r="N40" i="41"/>
  <c r="K40" i="41"/>
  <c r="N41" i="41"/>
  <c r="L41" i="41" s="1"/>
  <c r="K41" i="41"/>
  <c r="N42" i="41"/>
  <c r="L42" i="41" s="1"/>
  <c r="K42" i="41"/>
  <c r="N43" i="41"/>
  <c r="L43" i="41" s="1"/>
  <c r="K43" i="41"/>
  <c r="N44" i="41"/>
  <c r="L44" i="41" s="1"/>
  <c r="K44" i="41"/>
  <c r="N45" i="41"/>
  <c r="L45" i="41" s="1"/>
  <c r="K45" i="41"/>
  <c r="N46" i="41"/>
  <c r="L46" i="41" s="1"/>
  <c r="K46" i="41"/>
  <c r="N47" i="41"/>
  <c r="L47" i="41" s="1"/>
  <c r="K47" i="41"/>
  <c r="N48" i="41"/>
  <c r="L48" i="41" s="1"/>
  <c r="K48" i="41"/>
  <c r="N49" i="41"/>
  <c r="L49" i="41" s="1"/>
  <c r="K49" i="41"/>
  <c r="N50" i="41"/>
  <c r="K50" i="41"/>
  <c r="N51" i="41"/>
  <c r="L51" i="41" s="1"/>
  <c r="K51" i="41"/>
  <c r="N13" i="41"/>
  <c r="L13" i="41" s="1"/>
  <c r="K13" i="41"/>
  <c r="N14" i="41"/>
  <c r="L14" i="41" s="1"/>
  <c r="K14" i="41"/>
  <c r="N15" i="41"/>
  <c r="L15" i="41" s="1"/>
  <c r="K15" i="41"/>
  <c r="N16" i="41"/>
  <c r="L16" i="41" s="1"/>
  <c r="K16" i="41"/>
  <c r="N17" i="41"/>
  <c r="L17" i="41" s="1"/>
  <c r="K17" i="41"/>
  <c r="N18" i="41"/>
  <c r="L18" i="41" s="1"/>
  <c r="K18" i="41"/>
  <c r="N19" i="41"/>
  <c r="L19" i="41" s="1"/>
  <c r="K19" i="41"/>
  <c r="N20" i="41"/>
  <c r="L20" i="41" s="1"/>
  <c r="K20" i="41"/>
  <c r="N21" i="41"/>
  <c r="K21" i="41"/>
  <c r="N22" i="41"/>
  <c r="L22" i="41" s="1"/>
  <c r="K22" i="41"/>
  <c r="N9" i="41"/>
  <c r="L9" i="41" s="1"/>
  <c r="K9" i="41"/>
  <c r="N10" i="41"/>
  <c r="L10" i="41" s="1"/>
  <c r="K10" i="41"/>
  <c r="N11" i="41"/>
  <c r="L11" i="41" s="1"/>
  <c r="K11" i="41"/>
  <c r="N12" i="41"/>
  <c r="L12" i="41" s="1"/>
  <c r="K12" i="41"/>
  <c r="C63" i="148"/>
  <c r="E6" i="148"/>
  <c r="E7" i="148"/>
  <c r="AA9" i="41" s="1"/>
  <c r="E8" i="148"/>
  <c r="E9" i="148"/>
  <c r="AA11" i="41" s="1"/>
  <c r="E10" i="148"/>
  <c r="E11" i="148"/>
  <c r="AA13" i="41" s="1"/>
  <c r="E12" i="148"/>
  <c r="AA14" i="41" s="1"/>
  <c r="E13" i="148"/>
  <c r="E14" i="148"/>
  <c r="AA16" i="41" s="1"/>
  <c r="E15" i="148"/>
  <c r="AA17" i="41" s="1"/>
  <c r="E16" i="148"/>
  <c r="AA18" i="41" s="1"/>
  <c r="E17" i="148"/>
  <c r="AA19" i="41" s="1"/>
  <c r="E18" i="148"/>
  <c r="AA20" i="41" s="1"/>
  <c r="E19" i="148"/>
  <c r="AA21" i="41" s="1"/>
  <c r="E20" i="148"/>
  <c r="AA22" i="41" s="1"/>
  <c r="E21" i="148"/>
  <c r="AA23" i="41" s="1"/>
  <c r="E22" i="148"/>
  <c r="E23" i="148"/>
  <c r="AA25" i="41" s="1"/>
  <c r="E24" i="148"/>
  <c r="E25" i="148"/>
  <c r="E26" i="148"/>
  <c r="E27" i="148"/>
  <c r="AA29" i="41" s="1"/>
  <c r="E28" i="148"/>
  <c r="AA30" i="41" s="1"/>
  <c r="E29" i="148"/>
  <c r="AA31" i="41" s="1"/>
  <c r="E30" i="148"/>
  <c r="AA32" i="41" s="1"/>
  <c r="E31" i="148"/>
  <c r="AA33" i="41" s="1"/>
  <c r="E32" i="148"/>
  <c r="AA34" i="41" s="1"/>
  <c r="E33" i="148"/>
  <c r="AA35" i="41" s="1"/>
  <c r="E34" i="148"/>
  <c r="E35" i="148"/>
  <c r="AA37" i="41" s="1"/>
  <c r="E36" i="148"/>
  <c r="AA38" i="41" s="1"/>
  <c r="E37" i="148"/>
  <c r="AA39" i="41" s="1"/>
  <c r="E38" i="148"/>
  <c r="AA40" i="41" s="1"/>
  <c r="E39" i="148"/>
  <c r="E40" i="148"/>
  <c r="AA42" i="41" s="1"/>
  <c r="E41" i="148"/>
  <c r="AA43" i="41" s="1"/>
  <c r="E42" i="148"/>
  <c r="E43" i="148"/>
  <c r="AA45" i="41" s="1"/>
  <c r="E44" i="148"/>
  <c r="E45" i="148"/>
  <c r="E46" i="148"/>
  <c r="AA48" i="41" s="1"/>
  <c r="E47" i="148"/>
  <c r="E48" i="148"/>
  <c r="E49" i="148"/>
  <c r="AA51" i="41" s="1"/>
  <c r="E50" i="148"/>
  <c r="AA52" i="41" s="1"/>
  <c r="E51" i="148"/>
  <c r="AA53" i="41" s="1"/>
  <c r="E52" i="148"/>
  <c r="AA54" i="41" s="1"/>
  <c r="E53" i="148"/>
  <c r="E54" i="148"/>
  <c r="E55" i="148"/>
  <c r="AA57" i="41" s="1"/>
  <c r="E56" i="148"/>
  <c r="AA58" i="41" s="1"/>
  <c r="E57" i="148"/>
  <c r="AA59" i="41" s="1"/>
  <c r="E58" i="148"/>
  <c r="AA60" i="41" s="1"/>
  <c r="E59" i="148"/>
  <c r="AA61" i="41" s="1"/>
  <c r="E60" i="148"/>
  <c r="AA62" i="41" s="1"/>
  <c r="E61" i="148"/>
  <c r="AA63" i="41" s="1"/>
  <c r="E62" i="148"/>
  <c r="D63" i="148"/>
  <c r="E5" i="148"/>
  <c r="AA7" i="41" s="1"/>
  <c r="M65" i="83"/>
  <c r="AA8" i="41"/>
  <c r="AA64" i="41"/>
  <c r="AA56" i="41"/>
  <c r="AA55" i="41"/>
  <c r="AA50" i="41"/>
  <c r="AA49" i="41"/>
  <c r="AA47" i="41"/>
  <c r="AA46" i="41"/>
  <c r="AA44" i="41"/>
  <c r="AA41" i="41"/>
  <c r="AA36" i="41"/>
  <c r="AA28" i="41"/>
  <c r="AA27" i="41"/>
  <c r="AA26" i="41"/>
  <c r="AA24" i="41"/>
  <c r="AA15" i="41"/>
  <c r="AA10" i="41"/>
  <c r="F7" i="93"/>
  <c r="F43" i="146"/>
  <c r="S43" i="41" s="1"/>
  <c r="F7" i="146"/>
  <c r="S7" i="41" s="1"/>
  <c r="G7" i="146"/>
  <c r="T7" i="41" s="1"/>
  <c r="F8" i="143"/>
  <c r="Q8" i="41"/>
  <c r="G8" i="143"/>
  <c r="R8" i="41" s="1"/>
  <c r="F8" i="146"/>
  <c r="S8" i="41" s="1"/>
  <c r="G8" i="146"/>
  <c r="T8" i="41" s="1"/>
  <c r="F9" i="143"/>
  <c r="Q9" i="41"/>
  <c r="G9" i="143"/>
  <c r="R9" i="41"/>
  <c r="F9" i="146"/>
  <c r="S9" i="41" s="1"/>
  <c r="G9" i="146"/>
  <c r="T9" i="41"/>
  <c r="G10" i="143"/>
  <c r="R10" i="41"/>
  <c r="F10" i="146"/>
  <c r="S10" i="41"/>
  <c r="G10" i="146"/>
  <c r="T10" i="41" s="1"/>
  <c r="F11" i="143"/>
  <c r="Q11" i="41"/>
  <c r="G11" i="143"/>
  <c r="R11" i="41"/>
  <c r="G11" i="146"/>
  <c r="T11" i="41"/>
  <c r="F12" i="143"/>
  <c r="Q12" i="41"/>
  <c r="G12" i="143"/>
  <c r="R12" i="41"/>
  <c r="F12" i="146"/>
  <c r="S12" i="41" s="1"/>
  <c r="G12" i="146"/>
  <c r="T12" i="41" s="1"/>
  <c r="F13" i="143"/>
  <c r="Q13" i="41" s="1"/>
  <c r="G13" i="143"/>
  <c r="R13" i="41"/>
  <c r="F13" i="146"/>
  <c r="S13" i="41"/>
  <c r="G13" i="146"/>
  <c r="T13" i="41" s="1"/>
  <c r="G14" i="143"/>
  <c r="R14" i="41"/>
  <c r="F14" i="146"/>
  <c r="S14" i="41" s="1"/>
  <c r="G14" i="146"/>
  <c r="T14" i="41" s="1"/>
  <c r="F15" i="143"/>
  <c r="Q15" i="41"/>
  <c r="G15" i="143"/>
  <c r="R15" i="41" s="1"/>
  <c r="F15" i="146"/>
  <c r="S15" i="41" s="1"/>
  <c r="G15" i="146"/>
  <c r="T15" i="41" s="1"/>
  <c r="F16" i="143"/>
  <c r="Q16" i="41"/>
  <c r="G16" i="143"/>
  <c r="R16" i="41"/>
  <c r="F16" i="146"/>
  <c r="S16" i="41"/>
  <c r="G16" i="146"/>
  <c r="T16" i="41" s="1"/>
  <c r="F17" i="143"/>
  <c r="Q17" i="41" s="1"/>
  <c r="G17" i="143"/>
  <c r="R17" i="41"/>
  <c r="F17" i="146"/>
  <c r="S17" i="41" s="1"/>
  <c r="G17" i="146"/>
  <c r="T17" i="41" s="1"/>
  <c r="F18" i="143"/>
  <c r="Q18" i="41"/>
  <c r="G18" i="143"/>
  <c r="R18" i="41" s="1"/>
  <c r="F18" i="146"/>
  <c r="S18" i="41" s="1"/>
  <c r="G18" i="146"/>
  <c r="T18" i="41" s="1"/>
  <c r="F19" i="143"/>
  <c r="Q19" i="41"/>
  <c r="G19" i="143"/>
  <c r="R19" i="41"/>
  <c r="F19" i="146"/>
  <c r="S19" i="41" s="1"/>
  <c r="G19" i="146"/>
  <c r="T19" i="41" s="1"/>
  <c r="F20" i="143"/>
  <c r="Q20" i="41"/>
  <c r="G20" i="143"/>
  <c r="R20" i="41" s="1"/>
  <c r="F20" i="146"/>
  <c r="S20" i="41" s="1"/>
  <c r="F21" i="143"/>
  <c r="Q21" i="41"/>
  <c r="G21" i="143"/>
  <c r="R21" i="41" s="1"/>
  <c r="F21" i="146"/>
  <c r="S21" i="41" s="1"/>
  <c r="G21" i="146"/>
  <c r="T21" i="41"/>
  <c r="F22" i="143"/>
  <c r="Q22" i="41"/>
  <c r="G22" i="143"/>
  <c r="R22" i="41"/>
  <c r="F22" i="146"/>
  <c r="S22" i="41" s="1"/>
  <c r="G22" i="146"/>
  <c r="T22" i="41"/>
  <c r="F23" i="143"/>
  <c r="Q23" i="41" s="1"/>
  <c r="G23" i="143"/>
  <c r="R23" i="41"/>
  <c r="F23" i="146"/>
  <c r="S23" i="41" s="1"/>
  <c r="G23" i="146"/>
  <c r="T23" i="41" s="1"/>
  <c r="F24" i="143"/>
  <c r="Q24" i="41"/>
  <c r="G24" i="143"/>
  <c r="R24" i="41"/>
  <c r="F24" i="146"/>
  <c r="S24" i="41" s="1"/>
  <c r="G24" i="146"/>
  <c r="T24" i="41" s="1"/>
  <c r="F25" i="143"/>
  <c r="Q25" i="41"/>
  <c r="G25" i="143"/>
  <c r="R25" i="41" s="1"/>
  <c r="F25" i="146"/>
  <c r="S25" i="41" s="1"/>
  <c r="G25" i="146"/>
  <c r="T25" i="41" s="1"/>
  <c r="F26" i="143"/>
  <c r="Q26" i="41"/>
  <c r="G26" i="143"/>
  <c r="R26" i="41" s="1"/>
  <c r="F26" i="146"/>
  <c r="S26" i="41" s="1"/>
  <c r="G26" i="146"/>
  <c r="T26" i="41" s="1"/>
  <c r="F27" i="143"/>
  <c r="Q27" i="41" s="1"/>
  <c r="G27" i="143"/>
  <c r="R27" i="41"/>
  <c r="G27" i="146"/>
  <c r="T27" i="41" s="1"/>
  <c r="F28" i="143"/>
  <c r="Q28" i="41" s="1"/>
  <c r="G28" i="143"/>
  <c r="R28" i="41"/>
  <c r="F28" i="146"/>
  <c r="S28" i="41" s="1"/>
  <c r="G28" i="146"/>
  <c r="T28" i="41" s="1"/>
  <c r="F29" i="143"/>
  <c r="Q29" i="41" s="1"/>
  <c r="G29" i="143"/>
  <c r="R29" i="41"/>
  <c r="F29" i="146"/>
  <c r="S29" i="41" s="1"/>
  <c r="G29" i="146"/>
  <c r="T29" i="41" s="1"/>
  <c r="G30" i="143"/>
  <c r="R30" i="41" s="1"/>
  <c r="F30" i="146"/>
  <c r="S30" i="41" s="1"/>
  <c r="G30" i="146"/>
  <c r="T30" i="41" s="1"/>
  <c r="F31" i="143"/>
  <c r="Q31" i="41"/>
  <c r="G31" i="143"/>
  <c r="R31" i="41" s="1"/>
  <c r="F31" i="146"/>
  <c r="S31" i="41" s="1"/>
  <c r="G31" i="146"/>
  <c r="T31" i="41"/>
  <c r="F32" i="143"/>
  <c r="Q32" i="41" s="1"/>
  <c r="G32" i="143"/>
  <c r="R32" i="41" s="1"/>
  <c r="G32" i="146"/>
  <c r="T32" i="41" s="1"/>
  <c r="F33" i="143"/>
  <c r="Q33" i="41"/>
  <c r="G33" i="143"/>
  <c r="R33" i="41" s="1"/>
  <c r="F33" i="146"/>
  <c r="S33" i="41" s="1"/>
  <c r="G33" i="146"/>
  <c r="T33" i="41" s="1"/>
  <c r="F34" i="143"/>
  <c r="Q34" i="41" s="1"/>
  <c r="G34" i="143"/>
  <c r="R34" i="41"/>
  <c r="F34" i="146"/>
  <c r="S34" i="41" s="1"/>
  <c r="G34" i="146"/>
  <c r="T34" i="41" s="1"/>
  <c r="F35" i="143"/>
  <c r="Q35" i="41" s="1"/>
  <c r="G35" i="143"/>
  <c r="R35" i="41"/>
  <c r="F35" i="146"/>
  <c r="S35" i="41" s="1"/>
  <c r="G35" i="146"/>
  <c r="T35" i="41" s="1"/>
  <c r="F36" i="143"/>
  <c r="Q36" i="41" s="1"/>
  <c r="G36" i="143"/>
  <c r="R36" i="41"/>
  <c r="F36" i="146"/>
  <c r="S36" i="41" s="1"/>
  <c r="G36" i="146"/>
  <c r="T36" i="41" s="1"/>
  <c r="F37" i="143"/>
  <c r="Q37" i="41" s="1"/>
  <c r="F37" i="146"/>
  <c r="S37" i="41" s="1"/>
  <c r="G37" i="146"/>
  <c r="T37" i="41" s="1"/>
  <c r="F38" i="143"/>
  <c r="Q38" i="41"/>
  <c r="F38" i="146"/>
  <c r="S38" i="41" s="1"/>
  <c r="G38" i="146"/>
  <c r="T38" i="41" s="1"/>
  <c r="F39" i="143"/>
  <c r="Q39" i="41" s="1"/>
  <c r="G39" i="143"/>
  <c r="R39" i="41"/>
  <c r="F39" i="146"/>
  <c r="S39" i="41"/>
  <c r="G39" i="146"/>
  <c r="T39" i="41" s="1"/>
  <c r="F40" i="143"/>
  <c r="Q40" i="41"/>
  <c r="G40" i="143"/>
  <c r="R40" i="41"/>
  <c r="F40" i="146"/>
  <c r="S40" i="41" s="1"/>
  <c r="G40" i="146"/>
  <c r="T40" i="41" s="1"/>
  <c r="F41" i="143"/>
  <c r="Q41" i="41"/>
  <c r="G41" i="143"/>
  <c r="R41" i="41"/>
  <c r="F41" i="146"/>
  <c r="S41" i="41" s="1"/>
  <c r="G41" i="146"/>
  <c r="T41" i="41" s="1"/>
  <c r="F42" i="143"/>
  <c r="Q42" i="41" s="1"/>
  <c r="G42" i="143"/>
  <c r="R42" i="41" s="1"/>
  <c r="F42" i="146"/>
  <c r="S42" i="41" s="1"/>
  <c r="G42" i="146"/>
  <c r="T42" i="41" s="1"/>
  <c r="F43" i="143"/>
  <c r="Q43" i="41"/>
  <c r="G43" i="143"/>
  <c r="R43" i="41"/>
  <c r="G43" i="146"/>
  <c r="T43" i="41" s="1"/>
  <c r="F44" i="143"/>
  <c r="Q44" i="41" s="1"/>
  <c r="G44" i="143"/>
  <c r="R44" i="41" s="1"/>
  <c r="F44" i="146"/>
  <c r="S44" i="41" s="1"/>
  <c r="G44" i="146"/>
  <c r="T44" i="41" s="1"/>
  <c r="F45" i="143"/>
  <c r="Q45" i="41" s="1"/>
  <c r="G45" i="143"/>
  <c r="R45" i="41" s="1"/>
  <c r="F45" i="146"/>
  <c r="S45" i="41" s="1"/>
  <c r="G45" i="146"/>
  <c r="T45" i="41" s="1"/>
  <c r="G46" i="143"/>
  <c r="R46" i="41"/>
  <c r="F46" i="146"/>
  <c r="S46" i="41" s="1"/>
  <c r="G46" i="146"/>
  <c r="T46" i="41" s="1"/>
  <c r="F47" i="143"/>
  <c r="Q47" i="41" s="1"/>
  <c r="G47" i="143"/>
  <c r="R47" i="41"/>
  <c r="F47" i="146"/>
  <c r="S47" i="41"/>
  <c r="G47" i="146"/>
  <c r="T47" i="41" s="1"/>
  <c r="F48" i="143"/>
  <c r="Q48" i="41" s="1"/>
  <c r="G48" i="143"/>
  <c r="R48" i="41"/>
  <c r="F48" i="146"/>
  <c r="S48" i="41" s="1"/>
  <c r="G48" i="146"/>
  <c r="T48" i="41" s="1"/>
  <c r="F49" i="143"/>
  <c r="Q49" i="41" s="1"/>
  <c r="G49" i="143"/>
  <c r="R49" i="41" s="1"/>
  <c r="F49" i="146"/>
  <c r="S49" i="41" s="1"/>
  <c r="G49" i="146"/>
  <c r="T49" i="41" s="1"/>
  <c r="F50" i="143"/>
  <c r="Q50" i="41"/>
  <c r="G50" i="143"/>
  <c r="R50" i="41"/>
  <c r="F50" i="146"/>
  <c r="S50" i="41" s="1"/>
  <c r="G50" i="146"/>
  <c r="T50" i="41" s="1"/>
  <c r="F51" i="143"/>
  <c r="Q51" i="41"/>
  <c r="G51" i="143"/>
  <c r="R51" i="41" s="1"/>
  <c r="F51" i="146"/>
  <c r="S51" i="41" s="1"/>
  <c r="G51" i="146"/>
  <c r="T51" i="41" s="1"/>
  <c r="F52" i="143"/>
  <c r="Q52" i="41"/>
  <c r="G52" i="143"/>
  <c r="R52" i="41" s="1"/>
  <c r="F53" i="143"/>
  <c r="Q53" i="41"/>
  <c r="G53" i="143"/>
  <c r="R53" i="41" s="1"/>
  <c r="F53" i="146"/>
  <c r="S53" i="41" s="1"/>
  <c r="G53" i="146"/>
  <c r="T53" i="41" s="1"/>
  <c r="F54" i="143"/>
  <c r="Q54" i="41"/>
  <c r="G54" i="143"/>
  <c r="R54" i="41"/>
  <c r="F54" i="146"/>
  <c r="S54" i="41" s="1"/>
  <c r="G54" i="146"/>
  <c r="T54" i="41" s="1"/>
  <c r="F55" i="143"/>
  <c r="Q55" i="41" s="1"/>
  <c r="G55" i="143"/>
  <c r="R55" i="41"/>
  <c r="F55" i="146"/>
  <c r="S55" i="41" s="1"/>
  <c r="G55" i="146"/>
  <c r="T55" i="41" s="1"/>
  <c r="F56" i="143"/>
  <c r="Q56" i="41" s="1"/>
  <c r="G56" i="143"/>
  <c r="R56" i="41"/>
  <c r="F56" i="146"/>
  <c r="S56" i="41"/>
  <c r="G56" i="146"/>
  <c r="T56" i="41" s="1"/>
  <c r="F57" i="143"/>
  <c r="Q57" i="41" s="1"/>
  <c r="G57" i="143"/>
  <c r="R57" i="41"/>
  <c r="F57" i="146"/>
  <c r="S57" i="41" s="1"/>
  <c r="G57" i="146"/>
  <c r="T57" i="41" s="1"/>
  <c r="F58" i="143"/>
  <c r="Q58" i="41" s="1"/>
  <c r="G58" i="143"/>
  <c r="R58" i="41" s="1"/>
  <c r="F58" i="146"/>
  <c r="S58" i="41" s="1"/>
  <c r="G58" i="146"/>
  <c r="T58" i="41" s="1"/>
  <c r="F59" i="143"/>
  <c r="Q59" i="41" s="1"/>
  <c r="G59" i="143"/>
  <c r="R59" i="41"/>
  <c r="F59" i="146"/>
  <c r="S59" i="41" s="1"/>
  <c r="G59" i="146"/>
  <c r="T59" i="41" s="1"/>
  <c r="F60" i="143"/>
  <c r="Q60" i="41"/>
  <c r="G60" i="143"/>
  <c r="R60" i="41" s="1"/>
  <c r="F60" i="146"/>
  <c r="S60" i="41" s="1"/>
  <c r="G60" i="146"/>
  <c r="T60" i="41" s="1"/>
  <c r="F61" i="143"/>
  <c r="Q61" i="41" s="1"/>
  <c r="G61" i="143"/>
  <c r="R61" i="41"/>
  <c r="F61" i="146"/>
  <c r="S61" i="41" s="1"/>
  <c r="G61" i="146"/>
  <c r="T61" i="41" s="1"/>
  <c r="F62" i="143"/>
  <c r="Q62" i="41" s="1"/>
  <c r="G62" i="143"/>
  <c r="R62" i="41" s="1"/>
  <c r="F62" i="146"/>
  <c r="S62" i="41" s="1"/>
  <c r="G62" i="146"/>
  <c r="T62" i="41"/>
  <c r="F63" i="143"/>
  <c r="Q63" i="41" s="1"/>
  <c r="G63" i="143"/>
  <c r="R63" i="41"/>
  <c r="F63" i="146"/>
  <c r="S63" i="41" s="1"/>
  <c r="G63" i="146"/>
  <c r="T63" i="41" s="1"/>
  <c r="F64" i="143"/>
  <c r="Q64" i="41"/>
  <c r="G64" i="143"/>
  <c r="R64" i="4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L65" i="83"/>
  <c r="Q65" i="83"/>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14" i="41"/>
  <c r="Y32" i="41"/>
  <c r="Y60" i="41"/>
  <c r="O40" i="93"/>
  <c r="O9" i="93"/>
  <c r="O13" i="93"/>
  <c r="O10" i="93"/>
  <c r="O55" i="93"/>
  <c r="O20" i="93"/>
  <c r="M14" i="93"/>
  <c r="P14" i="93"/>
  <c r="D61" i="141"/>
  <c r="O3" i="141"/>
  <c r="J36" i="93"/>
  <c r="N36" i="93"/>
  <c r="O36" i="93"/>
  <c r="M36" i="93"/>
  <c r="P36" i="93"/>
  <c r="K49" i="93"/>
  <c r="O49" i="93"/>
  <c r="J11" i="93"/>
  <c r="N11" i="93"/>
  <c r="O12" i="93"/>
  <c r="K11" i="93"/>
  <c r="O22" i="93"/>
  <c r="G20" i="146"/>
  <c r="T20" i="41"/>
  <c r="E65" i="146"/>
  <c r="F10" i="143"/>
  <c r="Q10" i="41"/>
  <c r="D65" i="143"/>
  <c r="F65" i="143" s="1"/>
  <c r="F46" i="143"/>
  <c r="Q46" i="41" s="1"/>
  <c r="C65" i="146"/>
  <c r="G38" i="143"/>
  <c r="R38" i="41"/>
  <c r="E65" i="143"/>
  <c r="G65" i="143"/>
  <c r="F32" i="146"/>
  <c r="S32" i="41" s="1"/>
  <c r="D65" i="146"/>
  <c r="E61" i="141"/>
  <c r="K43" i="93"/>
  <c r="O43" i="93"/>
  <c r="D65" i="145"/>
  <c r="G37" i="143"/>
  <c r="R37" i="41" s="1"/>
  <c r="F30" i="143"/>
  <c r="Q30" i="41"/>
  <c r="F27" i="146"/>
  <c r="S27" i="41" s="1"/>
  <c r="F14" i="143"/>
  <c r="Q14" i="41" s="1"/>
  <c r="F11" i="146"/>
  <c r="S11" i="41" s="1"/>
  <c r="Y20" i="41"/>
  <c r="Y48" i="41"/>
  <c r="Q36" i="93"/>
  <c r="R36" i="93"/>
  <c r="S36" i="93"/>
  <c r="T36" i="93"/>
  <c r="Q14" i="93"/>
  <c r="R14" i="93"/>
  <c r="T14" i="93"/>
  <c r="S14" i="93"/>
  <c r="O11" i="93"/>
  <c r="P3" i="141"/>
  <c r="O61" i="141"/>
  <c r="P61" i="141"/>
  <c r="E63" i="72" l="1"/>
  <c r="F63" i="72" s="1"/>
  <c r="Y64" i="41"/>
  <c r="Y58" i="41"/>
  <c r="E57" i="72"/>
  <c r="F57" i="72" s="1"/>
  <c r="E27" i="72"/>
  <c r="F27" i="72" s="1"/>
  <c r="Y28" i="41"/>
  <c r="E41" i="72"/>
  <c r="F41" i="72" s="1"/>
  <c r="Y42" i="41"/>
  <c r="E17" i="72"/>
  <c r="F17" i="72" s="1"/>
  <c r="Y18" i="41"/>
  <c r="E23" i="72"/>
  <c r="F23" i="72" s="1"/>
  <c r="Y24" i="41"/>
  <c r="F39" i="41"/>
  <c r="F15" i="41"/>
  <c r="Y15" i="41" s="1"/>
  <c r="Y62" i="41"/>
  <c r="F55" i="41"/>
  <c r="F43" i="41"/>
  <c r="Y43" i="41" s="1"/>
  <c r="F19" i="41"/>
  <c r="Y19" i="41" s="1"/>
  <c r="F63" i="41"/>
  <c r="E62" i="72" s="1"/>
  <c r="F62" i="72" s="1"/>
  <c r="E33" i="72"/>
  <c r="F33" i="72" s="1"/>
  <c r="E65" i="41"/>
  <c r="F11" i="41"/>
  <c r="Y7" i="41"/>
  <c r="E6" i="72"/>
  <c r="F6" i="72" s="1"/>
  <c r="E25" i="72"/>
  <c r="F25" i="72" s="1"/>
  <c r="Y26" i="41"/>
  <c r="Y38" i="41"/>
  <c r="E37" i="72"/>
  <c r="F37" i="72" s="1"/>
  <c r="E53" i="72"/>
  <c r="F53" i="72" s="1"/>
  <c r="Y54" i="41"/>
  <c r="E35" i="72"/>
  <c r="F35" i="72" s="1"/>
  <c r="Y36" i="41"/>
  <c r="E21" i="72"/>
  <c r="F21" i="72" s="1"/>
  <c r="Y22" i="41"/>
  <c r="Y50" i="41"/>
  <c r="E49" i="72"/>
  <c r="F49" i="72" s="1"/>
  <c r="Y52" i="41"/>
  <c r="E51" i="72"/>
  <c r="F51" i="72" s="1"/>
  <c r="E45" i="72"/>
  <c r="F45" i="72" s="1"/>
  <c r="Y46" i="41"/>
  <c r="E11" i="72"/>
  <c r="F11" i="72" s="1"/>
  <c r="Y12" i="41"/>
  <c r="E15" i="72"/>
  <c r="F15" i="72" s="1"/>
  <c r="Y16" i="41"/>
  <c r="E39" i="72"/>
  <c r="F39" i="72" s="1"/>
  <c r="Y40" i="41"/>
  <c r="Y10" i="41"/>
  <c r="F47" i="41"/>
  <c r="F8" i="41"/>
  <c r="E55" i="72"/>
  <c r="F55" i="72" s="1"/>
  <c r="F23" i="41"/>
  <c r="Y23" i="41" s="1"/>
  <c r="Y30" i="41"/>
  <c r="F27" i="41"/>
  <c r="E26" i="72" s="1"/>
  <c r="F26" i="72" s="1"/>
  <c r="F35" i="41"/>
  <c r="E42" i="72"/>
  <c r="F42" i="72" s="1"/>
  <c r="E18" i="72"/>
  <c r="F18" i="72" s="1"/>
  <c r="Y47" i="41"/>
  <c r="E46" i="72"/>
  <c r="F46" i="72" s="1"/>
  <c r="E7" i="72"/>
  <c r="F7" i="72" s="1"/>
  <c r="E14" i="72"/>
  <c r="F14" i="72" s="1"/>
  <c r="Y51" i="41"/>
  <c r="E50" i="72"/>
  <c r="F50" i="72" s="1"/>
  <c r="E38" i="72"/>
  <c r="F38" i="72" s="1"/>
  <c r="Y39" i="41"/>
  <c r="Y55" i="41"/>
  <c r="E54" i="72"/>
  <c r="F54" i="72" s="1"/>
  <c r="Y31" i="41"/>
  <c r="E30" i="72"/>
  <c r="F30" i="72" s="1"/>
  <c r="E58" i="72"/>
  <c r="F58" i="72" s="1"/>
  <c r="Y59" i="41"/>
  <c r="Y11" i="41"/>
  <c r="E10" i="72"/>
  <c r="F10" i="72" s="1"/>
  <c r="Y35" i="41"/>
  <c r="E34" i="72"/>
  <c r="F34" i="72" s="1"/>
  <c r="Y63" i="41"/>
  <c r="Y13" i="41"/>
  <c r="Y45" i="41"/>
  <c r="Y33" i="41"/>
  <c r="Y53" i="41"/>
  <c r="Y29" i="41"/>
  <c r="Y61" i="41"/>
  <c r="Y21" i="41"/>
  <c r="Y17" i="41"/>
  <c r="Y9" i="41"/>
  <c r="Y37" i="41"/>
  <c r="Y49" i="41"/>
  <c r="Y41" i="41"/>
  <c r="Y25" i="41"/>
  <c r="Y57" i="41"/>
  <c r="F28" i="80"/>
  <c r="F9" i="80"/>
  <c r="F8" i="80"/>
  <c r="F54" i="80"/>
  <c r="F52" i="80"/>
  <c r="F23" i="80"/>
  <c r="F14" i="80"/>
  <c r="F13" i="80"/>
  <c r="F12" i="80"/>
  <c r="F48" i="80"/>
  <c r="F20" i="80"/>
  <c r="F10" i="80"/>
  <c r="F53" i="80"/>
  <c r="F18" i="80"/>
  <c r="F43" i="80"/>
  <c r="F34" i="80"/>
  <c r="F17" i="80"/>
  <c r="F16" i="80"/>
  <c r="F50" i="80"/>
  <c r="F59" i="80"/>
  <c r="F41" i="80"/>
  <c r="F32" i="80"/>
  <c r="F15" i="80"/>
  <c r="F49" i="80"/>
  <c r="F40" i="80"/>
  <c r="F39" i="80"/>
  <c r="F55" i="80"/>
  <c r="F46" i="80"/>
  <c r="F36" i="80"/>
  <c r="F27" i="80"/>
  <c r="G65" i="146"/>
  <c r="F65" i="146"/>
  <c r="C64" i="80"/>
  <c r="F31" i="80"/>
  <c r="F38" i="80"/>
  <c r="F30" i="80"/>
  <c r="F22" i="80"/>
  <c r="F42" i="80"/>
  <c r="F57" i="80"/>
  <c r="F11" i="80"/>
  <c r="F26" i="80"/>
  <c r="F63" i="80"/>
  <c r="D64" i="80"/>
  <c r="F6" i="80"/>
  <c r="L8" i="41"/>
  <c r="L7" i="41"/>
  <c r="L21" i="41"/>
  <c r="L50" i="41"/>
  <c r="L40" i="41"/>
  <c r="L30" i="41"/>
  <c r="L56" i="41"/>
  <c r="L55" i="41"/>
  <c r="L52" i="41"/>
  <c r="L53" i="41"/>
  <c r="L64" i="41"/>
  <c r="L63" i="41"/>
  <c r="E63" i="148"/>
  <c r="AA12" i="41"/>
  <c r="AA65" i="41"/>
  <c r="F65" i="41" l="1"/>
  <c r="E22" i="72"/>
  <c r="F22" i="72" s="1"/>
  <c r="Y8" i="41"/>
  <c r="Y27" i="41"/>
  <c r="F66" i="80"/>
  <c r="D56" i="72" s="1"/>
  <c r="F64" i="80"/>
  <c r="I57" i="41"/>
  <c r="K56" i="72"/>
  <c r="D51" i="72"/>
  <c r="D55" i="72"/>
  <c r="D21" i="72"/>
  <c r="D46" i="72"/>
  <c r="D59" i="72"/>
  <c r="D9" i="72"/>
  <c r="D25" i="72"/>
  <c r="D50" i="72"/>
  <c r="D63" i="72"/>
  <c r="D29" i="72"/>
  <c r="D54" i="72"/>
  <c r="D8" i="72"/>
  <c r="D17" i="72"/>
  <c r="D33" i="72"/>
  <c r="D58" i="72"/>
  <c r="D12" i="72"/>
  <c r="D42" i="72"/>
  <c r="D37" i="72"/>
  <c r="D62" i="72"/>
  <c r="D16" i="72"/>
  <c r="D34" i="72"/>
  <c r="D41" i="72"/>
  <c r="D6" i="72"/>
  <c r="D20" i="72"/>
  <c r="D24" i="72"/>
  <c r="D43" i="72"/>
  <c r="D38" i="72"/>
  <c r="D28" i="72"/>
  <c r="D49" i="72"/>
  <c r="D7" i="72"/>
  <c r="D53" i="72"/>
  <c r="D11" i="72"/>
  <c r="D32" i="72"/>
  <c r="D36" i="72"/>
  <c r="D40" i="72"/>
  <c r="D15" i="72"/>
  <c r="D61" i="72"/>
  <c r="D19" i="72"/>
  <c r="D10" i="72"/>
  <c r="D23" i="72"/>
  <c r="D44" i="72"/>
  <c r="D30" i="72"/>
  <c r="D48" i="72"/>
  <c r="D47" i="72"/>
  <c r="D57" i="72"/>
  <c r="D14" i="72"/>
  <c r="D27" i="72"/>
  <c r="D18" i="72"/>
  <c r="D31" i="72"/>
  <c r="D52" i="72"/>
  <c r="D13" i="72"/>
  <c r="D45" i="72"/>
  <c r="D22" i="72"/>
  <c r="H36" i="41"/>
  <c r="H54" i="41"/>
  <c r="H46" i="41"/>
  <c r="H60" i="41"/>
  <c r="H22" i="41"/>
  <c r="H15" i="41"/>
  <c r="H21" i="41"/>
  <c r="H25" i="41"/>
  <c r="H8" i="41"/>
  <c r="H61" i="41"/>
  <c r="H23" i="41"/>
  <c r="H30" i="41"/>
  <c r="H10" i="41"/>
  <c r="H51" i="41"/>
  <c r="H31" i="41"/>
  <c r="H43" i="41"/>
  <c r="H24" i="41"/>
  <c r="H63" i="41"/>
  <c r="H40" i="41"/>
  <c r="H42" i="41"/>
  <c r="H11" i="41"/>
  <c r="H28" i="41"/>
  <c r="H27" i="41"/>
  <c r="H26" i="41"/>
  <c r="H55" i="41"/>
  <c r="H35" i="41"/>
  <c r="H19" i="41"/>
  <c r="H64" i="41"/>
  <c r="H62" i="41"/>
  <c r="H16" i="41"/>
  <c r="H12" i="41"/>
  <c r="H52" i="41"/>
  <c r="H32" i="41"/>
  <c r="H57" i="41"/>
  <c r="H34" i="41"/>
  <c r="H37" i="41"/>
  <c r="H53" i="41"/>
  <c r="H29" i="41"/>
  <c r="H49" i="41"/>
  <c r="H56" i="41"/>
  <c r="H38" i="41"/>
  <c r="H33" i="41"/>
  <c r="H50" i="41"/>
  <c r="D4" i="72"/>
  <c r="H20" i="41"/>
  <c r="H41" i="41"/>
  <c r="H9" i="41"/>
  <c r="H44" i="41"/>
  <c r="H48" i="41"/>
  <c r="H58" i="41"/>
  <c r="H45" i="41"/>
  <c r="H47" i="41"/>
  <c r="H17" i="41"/>
  <c r="H13" i="41"/>
  <c r="H18" i="41"/>
  <c r="H7" i="41"/>
  <c r="H59" i="41"/>
  <c r="H39" i="41"/>
  <c r="H14" i="41"/>
  <c r="D35" i="72"/>
  <c r="D26" i="72"/>
  <c r="D39" i="72"/>
  <c r="D60" i="72"/>
  <c r="L65" i="41"/>
  <c r="Y65" i="41" l="1"/>
  <c r="I61" i="41"/>
  <c r="K60" i="72"/>
  <c r="I16" i="41"/>
  <c r="K15" i="72"/>
  <c r="I13" i="41"/>
  <c r="K12" i="72"/>
  <c r="I41" i="41"/>
  <c r="K40" i="72"/>
  <c r="I59" i="41"/>
  <c r="K58" i="72"/>
  <c r="I40" i="41"/>
  <c r="K39" i="72"/>
  <c r="I27" i="41"/>
  <c r="K26" i="72"/>
  <c r="I37" i="41"/>
  <c r="K36" i="72"/>
  <c r="I34" i="41"/>
  <c r="K33" i="72"/>
  <c r="I43" i="41"/>
  <c r="K42" i="72"/>
  <c r="I36" i="41"/>
  <c r="K35" i="72"/>
  <c r="I23" i="41"/>
  <c r="K22" i="72"/>
  <c r="I33" i="41"/>
  <c r="K32" i="72"/>
  <c r="I18" i="41"/>
  <c r="K17" i="72"/>
  <c r="I46" i="41"/>
  <c r="K45" i="72"/>
  <c r="I12" i="41"/>
  <c r="K11" i="72"/>
  <c r="K8" i="72"/>
  <c r="I9" i="41"/>
  <c r="I20" i="41"/>
  <c r="K19" i="72"/>
  <c r="I14" i="41"/>
  <c r="K13" i="72"/>
  <c r="I54" i="41"/>
  <c r="K53" i="72"/>
  <c r="I55" i="41"/>
  <c r="K54" i="72"/>
  <c r="I62" i="41"/>
  <c r="K61" i="72"/>
  <c r="I53" i="41"/>
  <c r="K52" i="72"/>
  <c r="K7" i="72"/>
  <c r="I8" i="41"/>
  <c r="I30" i="41"/>
  <c r="K29" i="72"/>
  <c r="I32" i="41"/>
  <c r="K31" i="72"/>
  <c r="I50" i="41"/>
  <c r="K49" i="72"/>
  <c r="I64" i="41"/>
  <c r="K63" i="72"/>
  <c r="I38" i="41"/>
  <c r="K37" i="72"/>
  <c r="I19" i="41"/>
  <c r="K18" i="72"/>
  <c r="I29" i="41"/>
  <c r="K28" i="72"/>
  <c r="I51" i="41"/>
  <c r="K50" i="72"/>
  <c r="I28" i="41"/>
  <c r="K27" i="72"/>
  <c r="I39" i="41"/>
  <c r="K38" i="72"/>
  <c r="I26" i="41"/>
  <c r="K25" i="72"/>
  <c r="I15" i="41"/>
  <c r="K14" i="72"/>
  <c r="I44" i="41"/>
  <c r="K43" i="72"/>
  <c r="I10" i="41"/>
  <c r="K9" i="72"/>
  <c r="I58" i="41"/>
  <c r="K57" i="72"/>
  <c r="I25" i="41"/>
  <c r="K24" i="72"/>
  <c r="I60" i="41"/>
  <c r="K59" i="72"/>
  <c r="I48" i="41"/>
  <c r="K47" i="72"/>
  <c r="I21" i="41"/>
  <c r="K20" i="72"/>
  <c r="I47" i="41"/>
  <c r="K46" i="72"/>
  <c r="I49" i="41"/>
  <c r="K48" i="72"/>
  <c r="K6" i="72"/>
  <c r="I7" i="41"/>
  <c r="I22" i="41"/>
  <c r="K21" i="72"/>
  <c r="I31" i="41"/>
  <c r="K30" i="72"/>
  <c r="I42" i="41"/>
  <c r="K41" i="72"/>
  <c r="I56" i="41"/>
  <c r="K55" i="72"/>
  <c r="I45" i="41"/>
  <c r="K44" i="72"/>
  <c r="I35" i="41"/>
  <c r="K34" i="72"/>
  <c r="I52" i="41"/>
  <c r="K51" i="72"/>
  <c r="I24" i="41"/>
  <c r="K23" i="72"/>
  <c r="I17" i="41"/>
  <c r="K16" i="72"/>
  <c r="I11" i="41"/>
  <c r="K10" i="72"/>
  <c r="I63" i="41"/>
  <c r="K62" i="72"/>
  <c r="K64" i="72" l="1"/>
  <c r="H66" i="72" s="1"/>
  <c r="D67" i="72" l="1"/>
  <c r="G62" i="72"/>
  <c r="H62" i="72" s="1"/>
  <c r="G17" i="72"/>
  <c r="H17" i="72" s="1"/>
  <c r="G28" i="72"/>
  <c r="H28" i="72" s="1"/>
  <c r="G10" i="72"/>
  <c r="H10" i="72" s="1"/>
  <c r="G21" i="72"/>
  <c r="H21" i="72" s="1"/>
  <c r="G15" i="72"/>
  <c r="H15" i="72" s="1"/>
  <c r="G30" i="72"/>
  <c r="H30" i="72" s="1"/>
  <c r="G34" i="72"/>
  <c r="H34" i="72" s="1"/>
  <c r="G58" i="72"/>
  <c r="H58" i="72" s="1"/>
  <c r="G6" i="72"/>
  <c r="H6" i="72" s="1"/>
  <c r="G27" i="72"/>
  <c r="H27" i="72" s="1"/>
  <c r="G16" i="72"/>
  <c r="H16" i="72" s="1"/>
  <c r="G55" i="72"/>
  <c r="H55" i="72" s="1"/>
  <c r="G49" i="72"/>
  <c r="H49" i="72" s="1"/>
  <c r="G13" i="72"/>
  <c r="H13" i="72" s="1"/>
  <c r="G63" i="72"/>
  <c r="H63" i="72" s="1"/>
  <c r="G22" i="72"/>
  <c r="H22" i="72" s="1"/>
  <c r="G52" i="72"/>
  <c r="H52" i="72" s="1"/>
  <c r="G43" i="72"/>
  <c r="H43" i="72" s="1"/>
  <c r="G32" i="72"/>
  <c r="H32" i="72" s="1"/>
  <c r="G12" i="72"/>
  <c r="H12" i="72" s="1"/>
  <c r="G36" i="72"/>
  <c r="H36" i="72" s="1"/>
  <c r="G40" i="72"/>
  <c r="H40" i="72" s="1"/>
  <c r="G51" i="72"/>
  <c r="H51" i="72" s="1"/>
  <c r="G47" i="72"/>
  <c r="H47" i="72" s="1"/>
  <c r="G25" i="72"/>
  <c r="H25" i="72" s="1"/>
  <c r="G35" i="72"/>
  <c r="H35" i="72" s="1"/>
  <c r="G4" i="72"/>
  <c r="G20" i="72"/>
  <c r="H20" i="72" s="1"/>
  <c r="G26" i="72"/>
  <c r="H26" i="72" s="1"/>
  <c r="G31" i="72"/>
  <c r="H31" i="72" s="1"/>
  <c r="G29" i="72"/>
  <c r="H29" i="72" s="1"/>
  <c r="G33" i="72"/>
  <c r="H33" i="72" s="1"/>
  <c r="G11" i="72"/>
  <c r="H11" i="72" s="1"/>
  <c r="G45" i="72"/>
  <c r="H45" i="72" s="1"/>
  <c r="G23" i="72"/>
  <c r="H23" i="72" s="1"/>
  <c r="G9" i="72"/>
  <c r="H9" i="72" s="1"/>
  <c r="G53" i="72"/>
  <c r="H53" i="72" s="1"/>
  <c r="G18" i="72"/>
  <c r="H18" i="72" s="1"/>
  <c r="G60" i="72"/>
  <c r="H60" i="72" s="1"/>
  <c r="G57" i="72"/>
  <c r="H57" i="72" s="1"/>
  <c r="G54" i="72"/>
  <c r="H54" i="72" s="1"/>
  <c r="G7" i="72"/>
  <c r="H7" i="72" s="1"/>
  <c r="G46" i="72"/>
  <c r="H46" i="72" s="1"/>
  <c r="G24" i="72"/>
  <c r="H24" i="72" s="1"/>
  <c r="G48" i="72"/>
  <c r="H48" i="72" s="1"/>
  <c r="G50" i="72"/>
  <c r="H50" i="72" s="1"/>
  <c r="G41" i="72"/>
  <c r="H41" i="72" s="1"/>
  <c r="G56" i="72"/>
  <c r="H56" i="72" s="1"/>
  <c r="G44" i="72"/>
  <c r="H44" i="72" s="1"/>
  <c r="G38" i="72"/>
  <c r="H38" i="72" s="1"/>
  <c r="G8" i="72"/>
  <c r="H8" i="72" s="1"/>
  <c r="G59" i="72"/>
  <c r="H59" i="72" s="1"/>
  <c r="G61" i="72"/>
  <c r="H61" i="72" s="1"/>
  <c r="G14" i="72"/>
  <c r="H14" i="72" s="1"/>
  <c r="G37" i="72"/>
  <c r="H37" i="72" s="1"/>
  <c r="G42" i="72"/>
  <c r="H42" i="72" s="1"/>
  <c r="G39" i="72"/>
  <c r="H39" i="72" s="1"/>
  <c r="G19" i="72"/>
  <c r="H19" i="72" s="1"/>
  <c r="J33" i="41" l="1"/>
  <c r="O33" i="41" s="1"/>
  <c r="V33" i="41"/>
  <c r="U33" i="41"/>
  <c r="V40" i="41"/>
  <c r="J40" i="41"/>
  <c r="O40" i="41" s="1"/>
  <c r="U40" i="41"/>
  <c r="U54" i="41"/>
  <c r="V54" i="41"/>
  <c r="J54" i="41"/>
  <c r="O54" i="41" s="1"/>
  <c r="V53" i="41"/>
  <c r="U53" i="41"/>
  <c r="J53" i="41"/>
  <c r="O53" i="41" s="1"/>
  <c r="V44" i="41"/>
  <c r="J44" i="41"/>
  <c r="O44" i="41" s="1"/>
  <c r="U44" i="41"/>
  <c r="U43" i="41"/>
  <c r="J43" i="41"/>
  <c r="O43" i="41" s="1"/>
  <c r="V43" i="41"/>
  <c r="J10" i="41"/>
  <c r="O10" i="41" s="1"/>
  <c r="V10" i="41"/>
  <c r="U10" i="41"/>
  <c r="V23" i="41"/>
  <c r="U23" i="41"/>
  <c r="J23" i="41"/>
  <c r="O23" i="41" s="1"/>
  <c r="U42" i="41"/>
  <c r="J42" i="41"/>
  <c r="O42" i="41" s="1"/>
  <c r="V42" i="41"/>
  <c r="U38" i="41"/>
  <c r="V38" i="41"/>
  <c r="J38" i="41"/>
  <c r="O38" i="41" s="1"/>
  <c r="U24" i="41"/>
  <c r="W24" i="41" s="1"/>
  <c r="V24" i="41"/>
  <c r="J24" i="41"/>
  <c r="O24" i="41" s="1"/>
  <c r="J64" i="41"/>
  <c r="O64" i="41" s="1"/>
  <c r="U64" i="41"/>
  <c r="V64" i="41"/>
  <c r="V58" i="41"/>
  <c r="J58" i="41"/>
  <c r="O58" i="41" s="1"/>
  <c r="U58" i="41"/>
  <c r="V15" i="41"/>
  <c r="J15" i="41"/>
  <c r="O15" i="41" s="1"/>
  <c r="U15" i="41"/>
  <c r="U46" i="41"/>
  <c r="J46" i="41"/>
  <c r="O46" i="41" s="1"/>
  <c r="V46" i="41"/>
  <c r="V14" i="41"/>
  <c r="J14" i="41"/>
  <c r="O14" i="41" s="1"/>
  <c r="U14" i="41"/>
  <c r="U51" i="41"/>
  <c r="J51" i="41"/>
  <c r="O51" i="41" s="1"/>
  <c r="V51" i="41"/>
  <c r="V62" i="41"/>
  <c r="J62" i="41"/>
  <c r="O62" i="41" s="1"/>
  <c r="U62" i="41"/>
  <c r="U12" i="41"/>
  <c r="V12" i="41"/>
  <c r="J12" i="41"/>
  <c r="O12" i="41" s="1"/>
  <c r="U50" i="41"/>
  <c r="V50" i="41"/>
  <c r="J50" i="41"/>
  <c r="O50" i="41" s="1"/>
  <c r="J20" i="41"/>
  <c r="O20" i="41" s="1"/>
  <c r="U20" i="41"/>
  <c r="V20" i="41"/>
  <c r="U60" i="41"/>
  <c r="V60" i="41"/>
  <c r="J60" i="41"/>
  <c r="O60" i="41" s="1"/>
  <c r="U34" i="41"/>
  <c r="V34" i="41"/>
  <c r="J34" i="41"/>
  <c r="O34" i="41" s="1"/>
  <c r="J56" i="41"/>
  <c r="O56" i="41" s="1"/>
  <c r="V56" i="41"/>
  <c r="U56" i="41"/>
  <c r="V19" i="41"/>
  <c r="U19" i="41"/>
  <c r="J19" i="41"/>
  <c r="O19" i="41" s="1"/>
  <c r="J9" i="41"/>
  <c r="O9" i="41" s="1"/>
  <c r="U9" i="41"/>
  <c r="V9" i="41"/>
  <c r="V30" i="41"/>
  <c r="U30" i="41"/>
  <c r="W30" i="41" s="1"/>
  <c r="J30" i="41"/>
  <c r="O30" i="41" s="1"/>
  <c r="J17" i="41"/>
  <c r="O17" i="41" s="1"/>
  <c r="V17" i="41"/>
  <c r="U17" i="41"/>
  <c r="J13" i="41"/>
  <c r="O13" i="41" s="1"/>
  <c r="V13" i="41"/>
  <c r="U13" i="41"/>
  <c r="U39" i="41"/>
  <c r="J39" i="41"/>
  <c r="O39" i="41" s="1"/>
  <c r="V39" i="41"/>
  <c r="U32" i="41"/>
  <c r="W32" i="41" s="1"/>
  <c r="J32" i="41"/>
  <c r="O32" i="41" s="1"/>
  <c r="V32" i="41"/>
  <c r="J28" i="41"/>
  <c r="O28" i="41" s="1"/>
  <c r="V28" i="41"/>
  <c r="U28" i="41"/>
  <c r="J45" i="41"/>
  <c r="O45" i="41" s="1"/>
  <c r="V45" i="41"/>
  <c r="U45" i="41"/>
  <c r="W45" i="41" s="1"/>
  <c r="AB45" i="41" s="1"/>
  <c r="V27" i="41"/>
  <c r="J27" i="41"/>
  <c r="O27" i="41" s="1"/>
  <c r="U27" i="41"/>
  <c r="J7" i="41"/>
  <c r="O7" i="41" s="1"/>
  <c r="U7" i="41"/>
  <c r="V7" i="41"/>
  <c r="J61" i="41"/>
  <c r="O61" i="41" s="1"/>
  <c r="U61" i="41"/>
  <c r="V61" i="41"/>
  <c r="V57" i="41"/>
  <c r="J57" i="41"/>
  <c r="O57" i="41" s="1"/>
  <c r="U57" i="41"/>
  <c r="W57" i="41" s="1"/>
  <c r="V21" i="41"/>
  <c r="U21" i="41"/>
  <c r="J21" i="41"/>
  <c r="O21" i="41" s="1"/>
  <c r="J59" i="41"/>
  <c r="O59" i="41" s="1"/>
  <c r="V59" i="41"/>
  <c r="U59" i="41"/>
  <c r="J35" i="41"/>
  <c r="O35" i="41" s="1"/>
  <c r="V35" i="41"/>
  <c r="U35" i="41"/>
  <c r="W35" i="41" s="1"/>
  <c r="V36" i="41"/>
  <c r="J36" i="41"/>
  <c r="O36" i="41" s="1"/>
  <c r="U36" i="41"/>
  <c r="W36" i="41" s="1"/>
  <c r="U31" i="41"/>
  <c r="V31" i="41"/>
  <c r="J31" i="41"/>
  <c r="O31" i="41" s="1"/>
  <c r="J49" i="41"/>
  <c r="O49" i="41" s="1"/>
  <c r="U49" i="41"/>
  <c r="W49" i="41" s="1"/>
  <c r="V49" i="41"/>
  <c r="U26" i="41"/>
  <c r="V26" i="41"/>
  <c r="J26" i="41"/>
  <c r="O26" i="41" s="1"/>
  <c r="U16" i="41"/>
  <c r="J16" i="41"/>
  <c r="O16" i="41" s="1"/>
  <c r="V16" i="41"/>
  <c r="U25" i="41"/>
  <c r="J25" i="41"/>
  <c r="O25" i="41" s="1"/>
  <c r="V25" i="41"/>
  <c r="U48" i="41"/>
  <c r="W48" i="41" s="1"/>
  <c r="J48" i="41"/>
  <c r="O48" i="41" s="1"/>
  <c r="V48" i="41"/>
  <c r="U22" i="41"/>
  <c r="J22" i="41"/>
  <c r="O22" i="41" s="1"/>
  <c r="V22" i="41"/>
  <c r="U47" i="41"/>
  <c r="J47" i="41"/>
  <c r="O47" i="41" s="1"/>
  <c r="V47" i="41"/>
  <c r="U52" i="41"/>
  <c r="W52" i="41" s="1"/>
  <c r="V52" i="41"/>
  <c r="J52" i="41"/>
  <c r="O52" i="41" s="1"/>
  <c r="J11" i="41"/>
  <c r="O11" i="41" s="1"/>
  <c r="U11" i="41"/>
  <c r="V11" i="41"/>
  <c r="J8" i="41"/>
  <c r="O8" i="41" s="1"/>
  <c r="U8" i="41"/>
  <c r="V8" i="41"/>
  <c r="J41" i="41"/>
  <c r="O41" i="41" s="1"/>
  <c r="V41" i="41"/>
  <c r="U41" i="41"/>
  <c r="W41" i="41" s="1"/>
  <c r="AB41" i="41" s="1"/>
  <c r="U29" i="41"/>
  <c r="W29" i="41" s="1"/>
  <c r="V29" i="41"/>
  <c r="J29" i="41"/>
  <c r="O29" i="41" s="1"/>
  <c r="J55" i="41"/>
  <c r="O55" i="41" s="1"/>
  <c r="V55" i="41"/>
  <c r="U55" i="41"/>
  <c r="V37" i="41"/>
  <c r="J37" i="41"/>
  <c r="O37" i="41" s="1"/>
  <c r="U37" i="41"/>
  <c r="W37" i="41" s="1"/>
  <c r="V18" i="41"/>
  <c r="J18" i="41"/>
  <c r="O18" i="41" s="1"/>
  <c r="U18" i="41"/>
  <c r="V63" i="41"/>
  <c r="U63" i="41"/>
  <c r="J63" i="41"/>
  <c r="O63" i="41" s="1"/>
  <c r="W62" i="41" l="1"/>
  <c r="W39" i="41"/>
  <c r="W58" i="41"/>
  <c r="W59" i="41"/>
  <c r="W44" i="41"/>
  <c r="W19" i="41"/>
  <c r="AB58" i="41"/>
  <c r="W11" i="41"/>
  <c r="W23" i="41"/>
  <c r="W61" i="41"/>
  <c r="AB61" i="41" s="1"/>
  <c r="W13" i="41"/>
  <c r="W34" i="41"/>
  <c r="AB34" i="41" s="1"/>
  <c r="W54" i="41"/>
  <c r="AB54" i="41" s="1"/>
  <c r="W55" i="41"/>
  <c r="AB55" i="41" s="1"/>
  <c r="W40" i="41"/>
  <c r="AB40" i="41" s="1"/>
  <c r="W12" i="41"/>
  <c r="W64" i="41"/>
  <c r="AB64" i="41" s="1"/>
  <c r="W53" i="41"/>
  <c r="AB53" i="41" s="1"/>
  <c r="W38" i="41"/>
  <c r="AB38" i="41" s="1"/>
  <c r="W46" i="41"/>
  <c r="AB46" i="41" s="1"/>
  <c r="W33" i="41"/>
  <c r="AB33" i="41" s="1"/>
  <c r="AD33" i="41" s="1"/>
  <c r="W22" i="41"/>
  <c r="AB22" i="41" s="1"/>
  <c r="W50" i="41"/>
  <c r="AB50" i="41" s="1"/>
  <c r="AD50" i="41" s="1"/>
  <c r="W9" i="41"/>
  <c r="AB9" i="41" s="1"/>
  <c r="W25" i="41"/>
  <c r="AB25" i="41" s="1"/>
  <c r="W28" i="41"/>
  <c r="AB28" i="41" s="1"/>
  <c r="W43" i="41"/>
  <c r="AB43" i="41" s="1"/>
  <c r="W8" i="41"/>
  <c r="AB8" i="41" s="1"/>
  <c r="W63" i="41"/>
  <c r="AB63" i="41" s="1"/>
  <c r="AD63" i="41" s="1"/>
  <c r="W16" i="41"/>
  <c r="AB16" i="41" s="1"/>
  <c r="W21" i="41"/>
  <c r="AB21" i="41" s="1"/>
  <c r="W56" i="41"/>
  <c r="AB56" i="41" s="1"/>
  <c r="W18" i="41"/>
  <c r="AB18" i="41" s="1"/>
  <c r="W26" i="41"/>
  <c r="AB26" i="41" s="1"/>
  <c r="W51" i="41"/>
  <c r="AB51" i="41" s="1"/>
  <c r="W14" i="41"/>
  <c r="AB14" i="41" s="1"/>
  <c r="AD14" i="41" s="1"/>
  <c r="W47" i="41"/>
  <c r="AB47" i="41" s="1"/>
  <c r="W42" i="41"/>
  <c r="AB42" i="41" s="1"/>
  <c r="W31" i="41"/>
  <c r="AB31" i="41" s="1"/>
  <c r="AD31" i="41" s="1"/>
  <c r="W17" i="41"/>
  <c r="AB17" i="41" s="1"/>
  <c r="D17" i="93" s="1"/>
  <c r="W60" i="41"/>
  <c r="AB60" i="41" s="1"/>
  <c r="W27" i="41"/>
  <c r="AB27" i="41" s="1"/>
  <c r="AD27" i="41" s="1"/>
  <c r="W20" i="41"/>
  <c r="AB20" i="41" s="1"/>
  <c r="AD20" i="41" s="1"/>
  <c r="W15" i="41"/>
  <c r="AB15" i="41" s="1"/>
  <c r="D15" i="93" s="1"/>
  <c r="W10" i="41"/>
  <c r="AB10" i="41" s="1"/>
  <c r="AD10" i="41" s="1"/>
  <c r="AB19" i="41"/>
  <c r="AD19" i="41" s="1"/>
  <c r="V65" i="41"/>
  <c r="AB11" i="41"/>
  <c r="D11" i="93" s="1"/>
  <c r="AB32" i="41"/>
  <c r="AD32" i="41" s="1"/>
  <c r="AB37" i="41"/>
  <c r="AD37" i="41" s="1"/>
  <c r="AB13" i="41"/>
  <c r="AB48" i="41"/>
  <c r="AD48" i="41" s="1"/>
  <c r="AB36" i="41"/>
  <c r="AD36" i="41" s="1"/>
  <c r="AD45" i="41"/>
  <c r="D45" i="93"/>
  <c r="AD58" i="41"/>
  <c r="D58" i="93"/>
  <c r="AB35" i="41"/>
  <c r="AB59" i="41"/>
  <c r="AB12" i="41"/>
  <c r="D41" i="93"/>
  <c r="AD41" i="41"/>
  <c r="AB44" i="41"/>
  <c r="AB62" i="41"/>
  <c r="AB24" i="41"/>
  <c r="AB52" i="41"/>
  <c r="AB57" i="41"/>
  <c r="AB39" i="41"/>
  <c r="AB49" i="41"/>
  <c r="AD13" i="41"/>
  <c r="D13" i="93"/>
  <c r="D61" i="93"/>
  <c r="AD61" i="41"/>
  <c r="D37" i="93"/>
  <c r="U65" i="41"/>
  <c r="W7" i="41"/>
  <c r="AB23" i="41"/>
  <c r="O65" i="41"/>
  <c r="AB29" i="41"/>
  <c r="D36" i="93"/>
  <c r="AB30" i="41"/>
  <c r="D33" i="93" l="1"/>
  <c r="AD25" i="41"/>
  <c r="D25" i="93"/>
  <c r="AD16" i="41"/>
  <c r="D16" i="93"/>
  <c r="AD21" i="41"/>
  <c r="D21" i="93"/>
  <c r="AD28" i="41"/>
  <c r="D28" i="93"/>
  <c r="AD8" i="41"/>
  <c r="D8" i="93"/>
  <c r="D63" i="93"/>
  <c r="D19" i="93"/>
  <c r="D50" i="93"/>
  <c r="AD26" i="41"/>
  <c r="D26" i="93"/>
  <c r="AD56" i="41"/>
  <c r="D56" i="93"/>
  <c r="D10" i="93"/>
  <c r="D14" i="93"/>
  <c r="D48" i="93"/>
  <c r="W65" i="41"/>
  <c r="AD11" i="41"/>
  <c r="D32" i="93"/>
  <c r="D31" i="93"/>
  <c r="AD17" i="41"/>
  <c r="D20" i="93"/>
  <c r="D27" i="93"/>
  <c r="AD15" i="41"/>
  <c r="AD52" i="41"/>
  <c r="D52" i="93"/>
  <c r="D64" i="93"/>
  <c r="D18" i="93"/>
  <c r="AD18" i="41"/>
  <c r="AD40" i="41"/>
  <c r="D40" i="93"/>
  <c r="D42" i="93"/>
  <c r="AD42" i="41"/>
  <c r="D35" i="93"/>
  <c r="AD35" i="41"/>
  <c r="D60" i="93"/>
  <c r="AD60" i="41"/>
  <c r="AD39" i="41"/>
  <c r="D39" i="93"/>
  <c r="AD53" i="41"/>
  <c r="D53" i="93"/>
  <c r="D30" i="93"/>
  <c r="AD30" i="41"/>
  <c r="AD44" i="41"/>
  <c r="D44" i="93"/>
  <c r="AD47" i="41"/>
  <c r="D47" i="93"/>
  <c r="D29" i="93"/>
  <c r="AD29" i="41"/>
  <c r="AD57" i="41"/>
  <c r="D57" i="93"/>
  <c r="AB7" i="41"/>
  <c r="D51" i="93"/>
  <c r="AD51" i="41"/>
  <c r="AD55" i="41"/>
  <c r="D55" i="93"/>
  <c r="AD22" i="41"/>
  <c r="D22" i="93"/>
  <c r="AD49" i="41"/>
  <c r="D49" i="93"/>
  <c r="AD24" i="41"/>
  <c r="D24" i="93"/>
  <c r="D9" i="93"/>
  <c r="AD9" i="41"/>
  <c r="D59" i="93"/>
  <c r="AD59" i="41"/>
  <c r="AD23" i="41"/>
  <c r="D23" i="93"/>
  <c r="D54" i="93"/>
  <c r="AD54" i="41"/>
  <c r="AD62" i="41"/>
  <c r="D62" i="93"/>
  <c r="AD46" i="41"/>
  <c r="D46" i="93"/>
  <c r="D34" i="93"/>
  <c r="AD34" i="41"/>
  <c r="D43" i="93"/>
  <c r="AD43" i="41"/>
  <c r="D38" i="93"/>
  <c r="AD38" i="41"/>
  <c r="AD12" i="41"/>
  <c r="D12" i="93"/>
  <c r="AD7" i="41" l="1"/>
  <c r="AB65" i="41"/>
  <c r="D7" i="93"/>
  <c r="D65" i="93" s="1"/>
  <c r="E49" i="93" s="1"/>
  <c r="E39" i="93" l="1"/>
  <c r="E23" i="93"/>
  <c r="AC14" i="41"/>
  <c r="AC11" i="41"/>
  <c r="AC20" i="41"/>
  <c r="AC32" i="41"/>
  <c r="AC10" i="41"/>
  <c r="AC19" i="41"/>
  <c r="AC26" i="41"/>
  <c r="AC63" i="41"/>
  <c r="AC25" i="41"/>
  <c r="AC58" i="41"/>
  <c r="AC21" i="41"/>
  <c r="AC56" i="41"/>
  <c r="AC33" i="41"/>
  <c r="AC31" i="41"/>
  <c r="AC8" i="41"/>
  <c r="AC28" i="41"/>
  <c r="AC48" i="41"/>
  <c r="AC37" i="41"/>
  <c r="AC50" i="41"/>
  <c r="AC61" i="41"/>
  <c r="AC36" i="41"/>
  <c r="AC17" i="41"/>
  <c r="AC27" i="41"/>
  <c r="AC13" i="41"/>
  <c r="AC15" i="41"/>
  <c r="AC41" i="41"/>
  <c r="AC16" i="41"/>
  <c r="AC45" i="41"/>
  <c r="AC52" i="41"/>
  <c r="AC44" i="41"/>
  <c r="AC24" i="41"/>
  <c r="AC46" i="41"/>
  <c r="AC60" i="41"/>
  <c r="AC34" i="41"/>
  <c r="AC9" i="41"/>
  <c r="AC64" i="41"/>
  <c r="AC39" i="41"/>
  <c r="AC47" i="41"/>
  <c r="AC38" i="41"/>
  <c r="AC18" i="41"/>
  <c r="AC59" i="41"/>
  <c r="AC43" i="41"/>
  <c r="AC29" i="41"/>
  <c r="AC49" i="41"/>
  <c r="AC51" i="41"/>
  <c r="AC62" i="41"/>
  <c r="AC35" i="41"/>
  <c r="AC53" i="41"/>
  <c r="AC40" i="41"/>
  <c r="AC23" i="41"/>
  <c r="AC57" i="41"/>
  <c r="AC55" i="41"/>
  <c r="AC22" i="41"/>
  <c r="AC42" i="41"/>
  <c r="AC54" i="41"/>
  <c r="AC30" i="41"/>
  <c r="AC12" i="41"/>
  <c r="E53" i="93"/>
  <c r="E38" i="93"/>
  <c r="E40" i="93"/>
  <c r="E52" i="93"/>
  <c r="E62" i="93"/>
  <c r="E60" i="93"/>
  <c r="E57" i="93"/>
  <c r="E44" i="93"/>
  <c r="E55" i="93"/>
  <c r="E9" i="93"/>
  <c r="E7" i="93"/>
  <c r="E15" i="93"/>
  <c r="E19" i="93"/>
  <c r="E41" i="93"/>
  <c r="E13" i="93"/>
  <c r="E36" i="93"/>
  <c r="E20" i="93"/>
  <c r="E8" i="93"/>
  <c r="E26" i="93"/>
  <c r="E50" i="93"/>
  <c r="E27" i="93"/>
  <c r="E16" i="93"/>
  <c r="E14" i="93"/>
  <c r="E21" i="93"/>
  <c r="E10" i="93"/>
  <c r="E48" i="93"/>
  <c r="E33" i="93"/>
  <c r="E37" i="93"/>
  <c r="E61" i="93"/>
  <c r="E11" i="93"/>
  <c r="E63" i="93"/>
  <c r="E32" i="93"/>
  <c r="E17" i="93"/>
  <c r="E45" i="93"/>
  <c r="E56" i="93"/>
  <c r="E28" i="93"/>
  <c r="E31" i="93"/>
  <c r="E25" i="93"/>
  <c r="E58" i="93"/>
  <c r="E64" i="93"/>
  <c r="E42" i="93"/>
  <c r="E54" i="93"/>
  <c r="E30" i="93"/>
  <c r="E43" i="93"/>
  <c r="E46" i="93"/>
  <c r="E18" i="93"/>
  <c r="E12" i="93"/>
  <c r="E47" i="93"/>
  <c r="E59" i="93"/>
  <c r="E34" i="93"/>
  <c r="E29" i="93"/>
  <c r="E22" i="93"/>
  <c r="E51" i="93"/>
  <c r="E24" i="93"/>
  <c r="AC7" i="41"/>
  <c r="E35" i="93"/>
  <c r="AC65" i="41" l="1"/>
  <c r="E65" i="93"/>
</calcChain>
</file>

<file path=xl/sharedStrings.xml><?xml version="1.0" encoding="utf-8"?>
<sst xmlns="http://schemas.openxmlformats.org/spreadsheetml/2006/main" count="978" uniqueCount="250">
  <si>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</si>
  <si>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</si>
  <si>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</si>
  <si>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</si>
  <si>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</si>
  <si>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</si>
  <si>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</si>
  <si>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</si>
  <si>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</si>
  <si>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</si>
  <si>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</si>
  <si>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</si>
  <si>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</si>
  <si>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</si>
  <si>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</si>
  <si>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</si>
  <si>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</si>
  <si>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</si>
  <si>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</si>
  <si>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</si>
  <si>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</si>
  <si>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</si>
  <si>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</si>
  <si>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</si>
  <si>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</si>
  <si>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</si>
  <si>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</si>
  <si>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</si>
  <si>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</si>
  <si>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</si>
  <si>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</si>
  <si>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</si>
  <si>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</si>
  <si>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</si>
  <si>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</si>
  <si>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</si>
  <si>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</si>
  <si>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</si>
  <si>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</si>
  <si>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</si>
  <si>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</si>
  <si>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</si>
  <si>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</si>
  <si>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</si>
  <si>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</si>
  <si>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</si>
  <si>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</si>
  <si>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</si>
  <si>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</si>
  <si>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</si>
  <si>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</si>
  <si>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</si>
  <si>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</si>
  <si>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</si>
  <si>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</si>
  <si>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</si>
  <si>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</si>
  <si>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</si>
  <si>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</si>
  <si>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</si>
  <si>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</si>
  <si>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</si>
  <si>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</si>
  <si>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</si>
  <si>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</si>
  <si>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</si>
  <si>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</si>
  <si>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</si>
  <si>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</si>
  <si>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</si>
  <si>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</si>
  <si>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</si>
  <si>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</si>
  <si>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</si>
  <si>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</si>
  <si>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</si>
  <si>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</si>
  <si>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</si>
  <si>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</si>
  <si>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</si>
  <si>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</si>
  <si>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</si>
  <si>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</si>
  <si>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</si>
  <si>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</si>
  <si>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</si>
  <si>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</si>
  <si>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</si>
  <si>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</si>
  <si>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</si>
  <si>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</si>
  <si>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</si>
  <si>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</si>
  <si>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</si>
  <si>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</si>
  <si>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</si>
  <si>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</si>
  <si>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</si>
  <si>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</si>
  <si>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</si>
  <si>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</si>
  <si>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</si>
  <si>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</si>
  <si>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</si>
  <si>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</si>
  <si>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</si>
  <si>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</si>
  <si>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</si>
  <si>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</si>
  <si>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</si>
  <si>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</si>
  <si>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</si>
  <si>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</si>
  <si>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</si>
  <si>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</si>
  <si>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</si>
  <si>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</si>
  <si>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</si>
  <si>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</si>
  <si>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</si>
  <si>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</si>
  <si>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</si>
  <si>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</si>
  <si>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</si>
  <si>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</si>
  <si>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</si>
  <si>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</si>
  <si>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</si>
  <si>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</si>
  <si>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</si>
  <si>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</si>
  <si>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</si>
  <si>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</si>
  <si>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</si>
  <si>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</si>
  <si>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</si>
  <si>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</si>
  <si>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</si>
  <si>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</si>
  <si>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</si>
  <si>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</si>
  <si>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</si>
  <si>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</si>
  <si>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</si>
  <si>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</si>
  <si>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</si>
  <si>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</si>
  <si>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</si>
  <si>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</si>
  <si>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</si>
  <si>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</si>
  <si>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</si>
  <si>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</si>
  <si>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</si>
  <si>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</si>
  <si>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</si>
  <si>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</si>
  <si>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</si>
  <si>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</si>
  <si>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</si>
  <si>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</si>
  <si>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</si>
  <si>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</si>
  <si>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</si>
  <si>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</si>
  <si>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</si>
  <si>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</si>
  <si>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</si>
  <si>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</si>
  <si>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</si>
  <si>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</si>
  <si>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</si>
  <si>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</si>
  <si>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</si>
  <si>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</si>
  <si>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</si>
  <si>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</si>
  <si>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</si>
  <si>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</si>
  <si>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</si>
  <si>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</si>
  <si>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</si>
  <si>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</si>
  <si>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</si>
  <si>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</si>
  <si>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</si>
  <si>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</si>
  <si>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</si>
  <si>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</si>
  <si>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</si>
  <si>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</si>
  <si>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</si>
  <si>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</si>
  <si>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</si>
  <si>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</si>
  <si>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</si>
  <si>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</si>
  <si>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</si>
  <si>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</si>
  <si>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</si>
  <si>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</si>
  <si>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</si>
  <si>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</si>
  <si>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</si>
  <si>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</si>
  <si>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</si>
  <si>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</si>
  <si>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</si>
  <si>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</si>
  <si>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</si>
  <si>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</si>
  <si>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</si>
  <si>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</si>
  <si>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</si>
  <si>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</si>
  <si>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</si>
  <si>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</si>
  <si>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t>Total 2021-22 RAS Need 
(J + M)</t>
  </si>
  <si>
    <t xml:space="preserve">¹ FTE Work Year Value = 1,642.5 hours </t>
  </si>
  <si>
    <t>2024-25 Workload Formula</t>
  </si>
  <si>
    <r>
      <t>Resource Assessment Study (RAS) Model Full-Time Equivalent 
(FTE) Need</t>
    </r>
    <r>
      <rPr>
        <b/>
        <vertAlign val="superscript"/>
        <sz val="11"/>
        <color theme="1"/>
        <rFont val="Calibri"/>
        <family val="2"/>
        <scheme val="minor"/>
      </rPr>
      <t>1</t>
    </r>
  </si>
  <si>
    <r>
      <rPr>
        <i/>
        <vertAlign val="superscript"/>
        <sz val="11"/>
        <color theme="1"/>
        <rFont val="Calibri"/>
        <family val="2"/>
        <scheme val="minor"/>
      </rPr>
      <t>2</t>
    </r>
    <r>
      <rPr>
        <i/>
        <sz val="11"/>
        <color theme="1"/>
        <rFont val="Calibri"/>
        <family val="2"/>
        <scheme val="minor"/>
      </rPr>
      <t>Unadjusted base funding per RAS FTE, based on 2023-24 Schedule 7A; does not include collections staff, Subordinate Judicial Officers, CEO, security, or vacant positions. In January 2014, the Trial Court Budget Advisory Committee approved a dollar factor adjustment for courts with fewer than 50 FTE.</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</si>
  <si>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</si>
  <si>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</si>
  <si>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rPr>
        <i/>
        <vertAlign val="superscript"/>
        <sz val="11"/>
        <rFont val="Calibri"/>
        <family val="2"/>
        <scheme val="minor"/>
      </rPr>
      <t>4</t>
    </r>
    <r>
      <rPr>
        <i/>
        <sz val="11"/>
        <rFont val="Calibri"/>
        <family val="2"/>
        <scheme val="minor"/>
      </rPr>
      <t>BLS Cost of Labor adjustment based on Quarterly Census of Wages &amp; Employment, three-year average from 2020 through 2022.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</si>
  <si>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t>Average Salary-Driven Benefits as % of Salary and 
Average Non Salary-Driven Benefits Per FTE</t>
    </r>
    <r>
      <rPr>
        <b/>
        <vertAlign val="superscript"/>
        <sz val="11"/>
        <rFont val="Calibri"/>
        <family val="2"/>
        <scheme val="minor"/>
      </rPr>
      <t>5</t>
    </r>
  </si>
  <si>
    <r>
      <rPr>
        <i/>
        <vertAlign val="superscript"/>
        <sz val="11"/>
        <color theme="1"/>
        <rFont val="Calibri"/>
        <family val="2"/>
        <scheme val="minor"/>
      </rPr>
      <t>6</t>
    </r>
    <r>
      <rPr>
        <i/>
        <sz val="11"/>
        <color theme="1"/>
        <rFont val="Calibri"/>
        <family val="2"/>
        <scheme val="minor"/>
      </rPr>
      <t>OE&amp;E Based on Cluster Average 
OE&amp;E / FTE (Cluster 1: $; Clusters 2-4: $) 
using 2020-21 to 2022-23 data</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</si>
  <si>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</si>
  <si>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</si>
  <si>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¹ 2020 - 2022 data.</t>
  </si>
  <si>
    <r>
      <t>2024-25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</si>
  <si>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2023-24 Schedule 7A; non-RAS staff include categories such as Subordinate Judicial Officers, Enhanced Collections Staff, and Interpreters.</t>
    </r>
  </si>
  <si>
    <t>2023-24</t>
  </si>
  <si>
    <t>¹ Updated three year average (2020-21 to 2022-23); changes to GL, PECT and Fund inclusion/exclusion approved by FMS have been incorporated in this OEE calculation.</t>
  </si>
  <si>
    <t>FY22/23 AB 1058 Costs</t>
  </si>
  <si>
    <t>FY 22/23 AB 1058 Costs</t>
  </si>
  <si>
    <r>
      <rPr>
        <vertAlign val="superscript"/>
        <sz val="11"/>
        <color theme="1"/>
        <rFont val="Calibri"/>
        <family val="2"/>
        <scheme val="minor"/>
      </rPr>
      <t>7</t>
    </r>
    <r>
      <rPr>
        <sz val="11"/>
        <color theme="1"/>
        <rFont val="Calibri"/>
        <family val="2"/>
        <scheme val="minor"/>
      </rPr>
      <t>2022-23 data</t>
    </r>
  </si>
  <si>
    <t>¹ Using 2023-24 data.</t>
  </si>
  <si>
    <r>
      <t xml:space="preserve">¹ Estimated need based on three-year average filings data from </t>
    </r>
    <r>
      <rPr>
        <i/>
        <sz val="11"/>
        <rFont val="Calibri"/>
        <family val="2"/>
        <scheme val="minor"/>
      </rPr>
      <t>2020-2021 through 2022-2023.</t>
    </r>
    <r>
      <rPr>
        <i/>
        <sz val="11"/>
        <color theme="1"/>
        <rFont val="Calibri"/>
        <family val="2"/>
        <scheme val="minor"/>
      </rPr>
      <t xml:space="preserve"> </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</si>
  <si>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</si>
  <si>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</si>
  <si>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</si>
  <si>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r>
      <rPr>
        <i/>
        <vertAlign val="superscript"/>
        <sz val="11"/>
        <color theme="1"/>
        <rFont val="Calibri"/>
        <family val="2"/>
        <scheme val="minor"/>
      </rPr>
      <t>3</t>
    </r>
    <r>
      <rPr>
        <i/>
        <sz val="11"/>
        <color theme="1"/>
        <rFont val="Calibri"/>
        <family val="2"/>
        <scheme val="minor"/>
      </rPr>
      <t>2023-24 Schedule 7A data</t>
    </r>
  </si>
  <si>
    <r>
      <rPr>
        <i/>
        <vertAlign val="superscript"/>
        <sz val="11"/>
        <color theme="1"/>
        <rFont val="Calibri"/>
        <family val="2"/>
        <scheme val="minor"/>
      </rPr>
      <t>5</t>
    </r>
    <r>
      <rPr>
        <i/>
        <sz val="11"/>
        <color theme="1"/>
        <rFont val="Calibri"/>
        <family val="2"/>
        <scheme val="minor"/>
      </rPr>
      <t>2023-24 Schedule 7A data</t>
    </r>
  </si>
  <si>
    <t>no</t>
  </si>
  <si>
    <t>yes</t>
  </si>
  <si>
    <t>Updated March 25, 2024</t>
  </si>
  <si>
    <t>Updated March 26, 2024</t>
  </si>
  <si>
    <t>Updated March 20, 2024</t>
  </si>
  <si>
    <t>Updated March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</si>
</sst>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_(&quot;$&quot;#,##0.00_);_(&quot;$&quot;* \(#,##0.00\);_(&quot;$&quot;* &quot;-&quot;??_);_(@_)"/>
  </numFmts>
  <fonts count="78"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20">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Border="1"/>
    <xf numFmtId="0" fontId="39" fillId="0" borderId="2" xfId="0" applyFont="1" applyBorder="1" applyAlignment="1">
      <alignment horizontal="center"/>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2" borderId="0" xfId="2" applyNumberFormat="1" applyFont="1" applyFill="1" applyBorder="1" applyAlignment="1">
      <alignment horizontal="center" vertical="center" wrapText="1"/>
    </xf>
    <xf numFmtId="0" fontId="63" fillId="32" borderId="0" xfId="0" applyFont="1" applyFill="1" applyAlignment="1">
      <alignment vertical="center"/>
    </xf>
    <xf numFmtId="0" fontId="64" fillId="32" borderId="0" xfId="6" applyFont="1" applyFill="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0" fontId="0" fillId="34" borderId="2" xfId="0"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Alignment="1">
      <alignment vertical="center"/>
    </xf>
    <xf numFmtId="43" fontId="0" fillId="0" borderId="2" xfId="2" applyFont="1" applyBorder="1"/>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5"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166" fontId="0" fillId="0" borderId="2" xfId="0" applyNumberFormat="1" applyBorder="1" applyAlignment="1">
      <alignment vertical="center"/>
    </xf>
    <xf numFmtId="0" fontId="76" fillId="0" borderId="0" xfId="0" applyFont="1" applyAlignment="1">
      <alignment vertical="center"/>
    </xf>
    <xf numFmtId="0" fontId="9" fillId="0" borderId="0" xfId="0" applyFont="1" applyAlignment="1">
      <alignment vertical="center" wrapText="1"/>
    </xf>
    <xf numFmtId="0" fontId="39" fillId="0" borderId="0" xfId="22" applyFont="1" applyAlignment="1">
      <alignment horizontal="left"/>
    </xf>
    <xf numFmtId="0" fontId="0" fillId="0" borderId="2" xfId="0" applyBorder="1" applyAlignment="1">
      <alignment horizontal="left"/>
    </xf>
    <xf numFmtId="0" fontId="10" fillId="0" borderId="2" xfId="22" applyFont="1" applyBorder="1" applyAlignment="1">
      <alignment horizontal="center" vertical="center" wrapText="1"/>
    </xf>
    <xf numFmtId="16" fontId="0" fillId="0" borderId="0" xfId="0" applyNumberFormat="1" applyAlignment="1">
      <alignment vertical="center"/>
    </xf>
    <xf numFmtId="169" fontId="0" fillId="0" borderId="2" xfId="2" applyNumberFormat="1" applyFont="1" applyBorder="1"/>
    <xf numFmtId="0" fontId="61" fillId="0" borderId="0" xfId="0" applyFont="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37" fillId="0" borderId="25"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Alignment="1">
      <alignment horizontal="left" vertical="center" wrapText="1"/>
    </xf>
    <xf numFmtId="0" fontId="63" fillId="32" borderId="0" xfId="0" applyFont="1" applyFill="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4">
    <dxf>
      <font>
        <condense val="0"/>
        <extend val="0"/>
        <color rgb="FF9C0006"/>
      </font>
      <fill>
        <patternFill>
          <bgColor rgb="FFFFC7CE"/>
        </patternFill>
      </fill>
    </dxf>
    <dxf>
      <fill>
        <patternFill>
          <bgColor theme="9" tint="0.59996337778862885"/>
        </patternFill>
      </fill>
    </dxf>
    <dxf>
      <fill>
        <patternFill>
          <bgColor theme="8"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7" workbookViewId="0">
      <selection activeCell="B11" sqref="B11"/>
    </sheetView>
  </sheetViews>
  <sheetFormatPr defaultRowHeight="14.4" x14ac:dyDescent="0.3"/>
  <cols>
    <col min="1" max="1" width="20" bestFit="1" customWidth="1"/>
    <col min="2" max="2" width="199.21875" bestFit="1" customWidth="1"/>
  </cols>
  <sheetData>
    <row r="1" spans="1:2" s="3" customFormat="1" x14ac:dyDescent="0.3">
      <c r="A1" s="3" t="s">
        <v>118</v>
      </c>
      <c r="B1" s="3" t="s">
        <v>64</v>
      </c>
    </row>
    <row r="2" spans="1:2" s="3" customFormat="1" x14ac:dyDescent="0.3">
      <c r="A2" t="s">
        <v>74</v>
      </c>
      <c r="B2" s="41"/>
    </row>
    <row r="3" spans="1:2" s="3" customFormat="1" x14ac:dyDescent="0.3"/>
    <row r="4" spans="1:2" x14ac:dyDescent="0.3">
      <c r="A4" t="s">
        <v>119</v>
      </c>
      <c r="B4" s="4" t="s">
        <v>209</v>
      </c>
    </row>
    <row r="5" spans="1:2" ht="28.8" x14ac:dyDescent="0.3">
      <c r="B5" s="4" t="s">
        <v>121</v>
      </c>
    </row>
    <row r="6" spans="1:2" x14ac:dyDescent="0.3">
      <c r="B6" s="4"/>
    </row>
    <row r="7" spans="1:2" x14ac:dyDescent="0.3">
      <c r="A7" t="s">
        <v>124</v>
      </c>
      <c r="B7" s="4" t="s">
        <v>125</v>
      </c>
    </row>
    <row r="9" spans="1:2" x14ac:dyDescent="0.3">
      <c r="A9" t="s">
        <v>120</v>
      </c>
      <c r="B9" s="4" t="s">
        <v>123</v>
      </c>
    </row>
    <row r="10" spans="1:2" x14ac:dyDescent="0.3">
      <c r="B10" s="4"/>
    </row>
    <row r="11" spans="1:2" ht="28.8" x14ac:dyDescent="0.3">
      <c r="A11" t="s">
        <v>122</v>
      </c>
      <c r="B11" s="4" t="s">
        <v>126</v>
      </c>
    </row>
    <row r="13" spans="1:2" x14ac:dyDescent="0.3">
      <c r="A13" t="s">
        <v>127</v>
      </c>
      <c r="B13" t="s">
        <v>134</v>
      </c>
    </row>
    <row r="15" spans="1:2" x14ac:dyDescent="0.3">
      <c r="A15" t="s">
        <v>128</v>
      </c>
      <c r="B15" t="s">
        <v>134</v>
      </c>
    </row>
    <row r="17" spans="1:2" x14ac:dyDescent="0.3">
      <c r="A17" t="s">
        <v>129</v>
      </c>
      <c r="B17" t="s">
        <v>135</v>
      </c>
    </row>
    <row r="19" spans="1:2" x14ac:dyDescent="0.3">
      <c r="A19" t="s">
        <v>130</v>
      </c>
      <c r="B19" t="s">
        <v>136</v>
      </c>
    </row>
    <row r="21" spans="1:2" x14ac:dyDescent="0.3">
      <c r="A21" t="s">
        <v>131</v>
      </c>
      <c r="B21" s="40"/>
    </row>
    <row r="23" spans="1:2" x14ac:dyDescent="0.3">
      <c r="A23" t="s">
        <v>137</v>
      </c>
      <c r="B23" t="s">
        <v>138</v>
      </c>
    </row>
    <row r="25" spans="1:2" x14ac:dyDescent="0.3">
      <c r="A25" t="s">
        <v>132</v>
      </c>
      <c r="B25" t="s">
        <v>139</v>
      </c>
    </row>
    <row r="27" spans="1:2" x14ac:dyDescent="0.3">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tabColor rgb="FF92D050"/>
    <pageSetUpPr fitToPage="1"/>
  </sheetPr>
  <dimension ref="A1:C11"/>
  <sheetViews>
    <sheetView zoomScaleNormal="100" workbookViewId="0">
      <selection activeCell="C6" sqref="C6"/>
    </sheetView>
  </sheetViews>
  <sheetFormatPr defaultColWidth="9.21875" defaultRowHeight="14.4" x14ac:dyDescent="0.3"/>
  <cols>
    <col min="1" max="1" width="10.5546875" style="53" customWidth="1"/>
    <col min="2" max="2" width="14.5546875" style="53" customWidth="1"/>
    <col min="3" max="3" width="26.21875" style="53" customWidth="1"/>
    <col min="4" max="16384" width="9.21875" style="53"/>
  </cols>
  <sheetData>
    <row r="1" spans="1:3" ht="18" x14ac:dyDescent="0.3">
      <c r="A1" s="164" t="s">
        <v>197</v>
      </c>
    </row>
    <row r="2" spans="1:3" ht="20.100000000000001" customHeight="1" x14ac:dyDescent="0.3">
      <c r="A2" s="49" t="s">
        <v>248</v>
      </c>
      <c r="C2" s="272"/>
    </row>
    <row r="3" spans="1:3" ht="20.100000000000001" customHeight="1" x14ac:dyDescent="0.3"/>
    <row r="4" spans="1:3" ht="28.8" x14ac:dyDescent="0.3">
      <c r="B4" s="235" t="s">
        <v>68</v>
      </c>
      <c r="C4" s="42" t="s">
        <v>196</v>
      </c>
    </row>
    <row r="5" spans="1:3" x14ac:dyDescent="0.3">
      <c r="B5" s="78" t="s">
        <v>65</v>
      </c>
      <c r="C5" s="78" t="s">
        <v>1</v>
      </c>
    </row>
    <row r="6" spans="1:3" ht="20.100000000000001" customHeight="1" x14ac:dyDescent="0.3">
      <c r="B6" s="65">
        <v>1</v>
      </c>
      <c r="C6" s="194">
        <v>41113.824124129322</v>
      </c>
    </row>
    <row r="7" spans="1:3" ht="20.100000000000001" customHeight="1" x14ac:dyDescent="0.3">
      <c r="B7" s="65">
        <v>2</v>
      </c>
      <c r="C7" s="194">
        <v>20653.740715560038</v>
      </c>
    </row>
    <row r="8" spans="1:3" ht="20.100000000000001" customHeight="1" x14ac:dyDescent="0.3">
      <c r="B8" s="65">
        <v>3</v>
      </c>
      <c r="C8" s="194">
        <v>20653.740715560038</v>
      </c>
    </row>
    <row r="9" spans="1:3" ht="20.100000000000001" customHeight="1" x14ac:dyDescent="0.3">
      <c r="B9" s="65">
        <v>4</v>
      </c>
      <c r="C9" s="194">
        <v>20653.740715560038</v>
      </c>
    </row>
    <row r="10" spans="1:3" ht="20.100000000000001" customHeight="1" x14ac:dyDescent="0.3">
      <c r="B10" s="56"/>
    </row>
    <row r="11" spans="1:3" ht="20.100000000000001" customHeight="1" x14ac:dyDescent="0.3">
      <c r="B11" s="61" t="s">
        <v>233</v>
      </c>
    </row>
  </sheetData>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tabColor rgb="FFFF0000"/>
  </sheetPr>
  <dimension ref="A1:J64"/>
  <sheetViews>
    <sheetView workbookViewId="0">
      <selection activeCell="G15" sqref="G15"/>
    </sheetView>
  </sheetViews>
  <sheetFormatPr defaultRowHeight="14.4" x14ac:dyDescent="0.3"/>
  <cols>
    <col min="1" max="1" width="11" style="254" customWidth="1"/>
    <col min="2" max="2" width="14.77734375" bestFit="1" customWidth="1"/>
    <col min="3" max="3" width="16.109375" bestFit="1" customWidth="1"/>
    <col min="4" max="4" width="15.5546875" bestFit="1" customWidth="1"/>
    <col min="5" max="5" width="20" bestFit="1" customWidth="1"/>
    <col min="7" max="7" width="15.5546875" customWidth="1"/>
    <col min="8" max="8" width="22.77734375" customWidth="1"/>
    <col min="9" max="9" width="11.21875" bestFit="1" customWidth="1"/>
    <col min="10" max="10" width="13.44140625" customWidth="1"/>
  </cols>
  <sheetData>
    <row r="1" spans="1:10" ht="23.1" customHeight="1" x14ac:dyDescent="0.3">
      <c r="A1" s="263" t="s">
        <v>235</v>
      </c>
    </row>
    <row r="2" spans="1:10" x14ac:dyDescent="0.3">
      <c r="A2" s="49" t="s">
        <v>247</v>
      </c>
    </row>
    <row r="4" spans="1:10" ht="28.8" x14ac:dyDescent="0.3">
      <c r="A4" s="250" t="s">
        <v>216</v>
      </c>
      <c r="B4" s="250" t="s">
        <v>212</v>
      </c>
      <c r="C4" s="202" t="s">
        <v>213</v>
      </c>
      <c r="D4" s="202" t="s">
        <v>214</v>
      </c>
      <c r="E4" s="202" t="s">
        <v>234</v>
      </c>
    </row>
    <row r="5" spans="1:10" x14ac:dyDescent="0.3">
      <c r="A5" s="253">
        <v>1</v>
      </c>
      <c r="B5" s="270" t="s">
        <v>53</v>
      </c>
      <c r="C5" s="255">
        <v>1606783.63</v>
      </c>
      <c r="D5" s="255">
        <v>545824.17000000004</v>
      </c>
      <c r="E5" s="256">
        <f>C5+D5</f>
        <v>2152607.7999999998</v>
      </c>
      <c r="G5" s="261"/>
      <c r="I5" s="259"/>
      <c r="J5" s="262"/>
    </row>
    <row r="6" spans="1:10" x14ac:dyDescent="0.3">
      <c r="A6" s="253">
        <v>2</v>
      </c>
      <c r="B6" s="270" t="s">
        <v>4</v>
      </c>
      <c r="C6" s="255">
        <v>0</v>
      </c>
      <c r="D6" s="255">
        <v>0</v>
      </c>
      <c r="E6" s="256">
        <f t="shared" ref="E6:E62" si="0">C6+D6</f>
        <v>0</v>
      </c>
      <c r="G6" s="261"/>
      <c r="I6" s="259"/>
    </row>
    <row r="7" spans="1:10" x14ac:dyDescent="0.3">
      <c r="A7" s="253">
        <v>3</v>
      </c>
      <c r="B7" s="270" t="s">
        <v>5</v>
      </c>
      <c r="C7" s="255">
        <v>102601.86</v>
      </c>
      <c r="D7" s="255">
        <v>37004.58</v>
      </c>
      <c r="E7" s="256">
        <f t="shared" si="0"/>
        <v>139606.44</v>
      </c>
      <c r="G7" s="261"/>
      <c r="I7" s="259"/>
      <c r="J7" s="262"/>
    </row>
    <row r="8" spans="1:10" x14ac:dyDescent="0.3">
      <c r="A8" s="253">
        <v>4</v>
      </c>
      <c r="B8" s="270" t="s">
        <v>19</v>
      </c>
      <c r="C8" s="255">
        <v>97791.110000000015</v>
      </c>
      <c r="D8" s="255">
        <v>121340.91000000002</v>
      </c>
      <c r="E8" s="256">
        <f t="shared" si="0"/>
        <v>219132.02000000002</v>
      </c>
      <c r="G8" s="261"/>
      <c r="I8" s="259"/>
      <c r="J8" s="262"/>
    </row>
    <row r="9" spans="1:10" x14ac:dyDescent="0.3">
      <c r="A9" s="253">
        <v>5</v>
      </c>
      <c r="B9" s="270" t="s">
        <v>6</v>
      </c>
      <c r="C9" s="255">
        <v>89373.37999999999</v>
      </c>
      <c r="D9" s="255">
        <v>32801.58</v>
      </c>
      <c r="E9" s="256">
        <f t="shared" si="0"/>
        <v>122174.95999999999</v>
      </c>
      <c r="G9" s="261"/>
      <c r="I9" s="259"/>
      <c r="J9" s="262"/>
    </row>
    <row r="10" spans="1:10" x14ac:dyDescent="0.3">
      <c r="A10" s="253">
        <v>6</v>
      </c>
      <c r="B10" s="270" t="s">
        <v>7</v>
      </c>
      <c r="C10" s="255">
        <v>27447.999999999996</v>
      </c>
      <c r="D10" s="255">
        <v>44124</v>
      </c>
      <c r="E10" s="256">
        <f t="shared" si="0"/>
        <v>71572</v>
      </c>
      <c r="G10" s="261"/>
      <c r="I10" s="259"/>
      <c r="J10" s="262"/>
    </row>
    <row r="11" spans="1:10" x14ac:dyDescent="0.3">
      <c r="A11" s="253">
        <v>7</v>
      </c>
      <c r="B11" s="270" t="s">
        <v>41</v>
      </c>
      <c r="C11" s="255">
        <v>765013.11</v>
      </c>
      <c r="D11" s="255">
        <v>334680.99</v>
      </c>
      <c r="E11" s="256">
        <f t="shared" si="0"/>
        <v>1099694.1000000001</v>
      </c>
      <c r="G11" s="261"/>
      <c r="I11" s="259"/>
      <c r="J11" s="262"/>
    </row>
    <row r="12" spans="1:10" x14ac:dyDescent="0.3">
      <c r="A12" s="253">
        <v>8</v>
      </c>
      <c r="B12" s="270" t="s">
        <v>8</v>
      </c>
      <c r="C12" s="255">
        <v>50023.62</v>
      </c>
      <c r="D12" s="255">
        <v>53255.71</v>
      </c>
      <c r="E12" s="256">
        <f t="shared" si="0"/>
        <v>103279.33</v>
      </c>
      <c r="G12" s="261"/>
      <c r="I12" s="259"/>
      <c r="J12" s="262"/>
    </row>
    <row r="13" spans="1:10" x14ac:dyDescent="0.3">
      <c r="A13" s="253">
        <v>9</v>
      </c>
      <c r="B13" s="270" t="s">
        <v>20</v>
      </c>
      <c r="C13" s="255">
        <v>108593.48000000001</v>
      </c>
      <c r="D13" s="255">
        <v>115931.37</v>
      </c>
      <c r="E13" s="256">
        <f t="shared" si="0"/>
        <v>224524.85</v>
      </c>
      <c r="G13" s="261"/>
      <c r="I13" s="259"/>
      <c r="J13" s="262"/>
    </row>
    <row r="14" spans="1:10" x14ac:dyDescent="0.3">
      <c r="A14" s="253">
        <v>10</v>
      </c>
      <c r="B14" s="270" t="s">
        <v>42</v>
      </c>
      <c r="C14" s="255">
        <v>2094766.1199999999</v>
      </c>
      <c r="D14" s="255">
        <v>533830</v>
      </c>
      <c r="E14" s="256">
        <f t="shared" si="0"/>
        <v>2628596.12</v>
      </c>
      <c r="G14" s="261"/>
      <c r="I14" s="262"/>
      <c r="J14" s="262"/>
    </row>
    <row r="15" spans="1:10" x14ac:dyDescent="0.3">
      <c r="A15" s="253">
        <v>11</v>
      </c>
      <c r="B15" s="270" t="s">
        <v>9</v>
      </c>
      <c r="C15" s="255">
        <v>84236.92</v>
      </c>
      <c r="D15" s="255">
        <v>23031.170000000002</v>
      </c>
      <c r="E15" s="256">
        <f t="shared" si="0"/>
        <v>107268.09</v>
      </c>
      <c r="G15" s="260"/>
      <c r="H15" s="259"/>
      <c r="I15" s="262"/>
      <c r="J15" s="262"/>
    </row>
    <row r="16" spans="1:10" x14ac:dyDescent="0.3">
      <c r="A16" s="253">
        <v>12</v>
      </c>
      <c r="B16" s="270" t="s">
        <v>21</v>
      </c>
      <c r="C16" s="255">
        <v>115047.13999999998</v>
      </c>
      <c r="D16" s="255">
        <v>98707.99</v>
      </c>
      <c r="E16" s="256">
        <f t="shared" si="0"/>
        <v>213755.13</v>
      </c>
      <c r="G16" s="260"/>
      <c r="H16" s="259"/>
      <c r="I16" s="262"/>
      <c r="J16" s="262"/>
    </row>
    <row r="17" spans="1:10" x14ac:dyDescent="0.3">
      <c r="A17" s="253">
        <v>13</v>
      </c>
      <c r="B17" s="270" t="s">
        <v>22</v>
      </c>
      <c r="C17" s="255">
        <v>323943.24000000011</v>
      </c>
      <c r="D17" s="255">
        <v>31395.74</v>
      </c>
      <c r="E17" s="256">
        <f t="shared" si="0"/>
        <v>355338.9800000001</v>
      </c>
      <c r="G17" s="260"/>
      <c r="H17" s="259"/>
      <c r="I17" s="262"/>
      <c r="J17" s="262"/>
    </row>
    <row r="18" spans="1:10" x14ac:dyDescent="0.3">
      <c r="A18" s="253">
        <v>14</v>
      </c>
      <c r="B18" s="270" t="s">
        <v>10</v>
      </c>
      <c r="C18" s="255">
        <v>16715.37</v>
      </c>
      <c r="D18" s="255">
        <v>31785.250000000007</v>
      </c>
      <c r="E18" s="256">
        <f t="shared" si="0"/>
        <v>48500.62000000001</v>
      </c>
      <c r="G18" s="260"/>
      <c r="H18" s="259"/>
      <c r="I18" s="262"/>
      <c r="J18" s="262"/>
    </row>
    <row r="19" spans="1:10" x14ac:dyDescent="0.3">
      <c r="A19" s="253">
        <v>15</v>
      </c>
      <c r="B19" s="270" t="s">
        <v>43</v>
      </c>
      <c r="C19" s="255">
        <v>1066163.1199999999</v>
      </c>
      <c r="D19" s="255">
        <v>501641</v>
      </c>
      <c r="E19" s="256">
        <f t="shared" si="0"/>
        <v>1567804.1199999999</v>
      </c>
      <c r="G19" s="260"/>
      <c r="H19" s="259"/>
      <c r="I19" s="262"/>
      <c r="J19" s="262"/>
    </row>
    <row r="20" spans="1:10" x14ac:dyDescent="0.3">
      <c r="A20" s="253">
        <v>16</v>
      </c>
      <c r="B20" s="270" t="s">
        <v>23</v>
      </c>
      <c r="C20" s="255">
        <v>282079.82000000007</v>
      </c>
      <c r="D20" s="255">
        <v>21008.82</v>
      </c>
      <c r="E20" s="256">
        <f t="shared" si="0"/>
        <v>303088.64000000007</v>
      </c>
      <c r="G20" s="260"/>
      <c r="H20" s="259"/>
      <c r="I20" s="262"/>
      <c r="J20" s="262"/>
    </row>
    <row r="21" spans="1:10" x14ac:dyDescent="0.3">
      <c r="A21" s="253">
        <v>17</v>
      </c>
      <c r="B21" s="270" t="s">
        <v>24</v>
      </c>
      <c r="C21" s="255">
        <v>187229.67</v>
      </c>
      <c r="D21" s="255">
        <v>77129</v>
      </c>
      <c r="E21" s="256">
        <f t="shared" si="0"/>
        <v>264358.67000000004</v>
      </c>
      <c r="G21" s="260"/>
      <c r="H21" s="259"/>
      <c r="I21" s="262"/>
      <c r="J21" s="262"/>
    </row>
    <row r="22" spans="1:10" x14ac:dyDescent="0.3">
      <c r="A22" s="253">
        <v>18</v>
      </c>
      <c r="B22" s="270" t="s">
        <v>11</v>
      </c>
      <c r="C22" s="255">
        <v>58490.389999999992</v>
      </c>
      <c r="D22" s="255">
        <v>69797.700000000012</v>
      </c>
      <c r="E22" s="256">
        <f t="shared" si="0"/>
        <v>128288.09</v>
      </c>
      <c r="G22" s="260"/>
      <c r="H22" s="259"/>
      <c r="I22" s="262"/>
      <c r="J22" s="262"/>
    </row>
    <row r="23" spans="1:10" x14ac:dyDescent="0.3">
      <c r="A23" s="253">
        <v>19</v>
      </c>
      <c r="B23" s="270" t="s">
        <v>54</v>
      </c>
      <c r="C23" s="255">
        <v>8136408.9899999993</v>
      </c>
      <c r="D23" s="255">
        <v>2611889.87</v>
      </c>
      <c r="E23" s="256">
        <f t="shared" si="0"/>
        <v>10748298.859999999</v>
      </c>
      <c r="G23" s="260"/>
      <c r="H23" s="259"/>
      <c r="I23" s="262"/>
      <c r="J23" s="262"/>
    </row>
    <row r="24" spans="1:10" x14ac:dyDescent="0.3">
      <c r="A24" s="253">
        <v>20</v>
      </c>
      <c r="B24" s="270" t="s">
        <v>25</v>
      </c>
      <c r="C24" s="255">
        <v>296225.57</v>
      </c>
      <c r="D24" s="255">
        <v>99911.950000000012</v>
      </c>
      <c r="E24" s="256">
        <f t="shared" si="0"/>
        <v>396137.52</v>
      </c>
      <c r="G24" s="260"/>
      <c r="H24" s="259"/>
      <c r="I24" s="262"/>
      <c r="J24" s="262"/>
    </row>
    <row r="25" spans="1:10" x14ac:dyDescent="0.3">
      <c r="A25" s="253">
        <v>21</v>
      </c>
      <c r="B25" s="270" t="s">
        <v>26</v>
      </c>
      <c r="C25" s="255">
        <v>140904.16</v>
      </c>
      <c r="D25" s="255">
        <v>103609.95999999998</v>
      </c>
      <c r="E25" s="256">
        <f t="shared" si="0"/>
        <v>244514.12</v>
      </c>
      <c r="G25" s="260"/>
      <c r="H25" s="259"/>
      <c r="I25" s="262"/>
      <c r="J25" s="262"/>
    </row>
    <row r="26" spans="1:10" x14ac:dyDescent="0.3">
      <c r="A26" s="253">
        <v>22</v>
      </c>
      <c r="B26" s="270" t="s">
        <v>12</v>
      </c>
      <c r="C26" s="255">
        <v>17433.850000000002</v>
      </c>
      <c r="D26" s="255">
        <v>1838.31</v>
      </c>
      <c r="E26" s="256">
        <f t="shared" si="0"/>
        <v>19272.160000000003</v>
      </c>
      <c r="G26" s="260"/>
      <c r="H26" s="259"/>
      <c r="I26" s="262"/>
      <c r="J26" s="262"/>
    </row>
    <row r="27" spans="1:10" x14ac:dyDescent="0.3">
      <c r="A27" s="253">
        <v>23</v>
      </c>
      <c r="B27" s="270" t="s">
        <v>27</v>
      </c>
      <c r="C27" s="255">
        <v>191462.75000000003</v>
      </c>
      <c r="D27" s="255">
        <v>78211</v>
      </c>
      <c r="E27" s="256">
        <f t="shared" si="0"/>
        <v>269673.75</v>
      </c>
      <c r="G27" s="260"/>
      <c r="H27" s="259"/>
      <c r="I27" s="262"/>
      <c r="J27" s="262"/>
    </row>
    <row r="28" spans="1:10" x14ac:dyDescent="0.3">
      <c r="A28" s="253">
        <v>24</v>
      </c>
      <c r="B28" s="270" t="s">
        <v>28</v>
      </c>
      <c r="C28" s="255">
        <v>454438.56000000006</v>
      </c>
      <c r="D28" s="255">
        <v>151364.77999999997</v>
      </c>
      <c r="E28" s="256">
        <f t="shared" si="0"/>
        <v>605803.34000000008</v>
      </c>
      <c r="G28" s="260"/>
      <c r="H28" s="259"/>
      <c r="I28" s="262"/>
      <c r="J28" s="262"/>
    </row>
    <row r="29" spans="1:10" x14ac:dyDescent="0.3">
      <c r="A29" s="253">
        <v>25</v>
      </c>
      <c r="B29" s="270" t="s">
        <v>13</v>
      </c>
      <c r="C29" s="255">
        <v>0</v>
      </c>
      <c r="D29" s="255">
        <v>71818</v>
      </c>
      <c r="E29" s="256">
        <f t="shared" si="0"/>
        <v>71818</v>
      </c>
      <c r="G29" s="260"/>
      <c r="H29" s="259"/>
      <c r="J29" s="262"/>
    </row>
    <row r="30" spans="1:10" x14ac:dyDescent="0.3">
      <c r="A30" s="253">
        <v>26</v>
      </c>
      <c r="B30" s="270" t="s">
        <v>14</v>
      </c>
      <c r="C30" s="255">
        <v>5332.38</v>
      </c>
      <c r="D30" s="255">
        <v>47553.170000000006</v>
      </c>
      <c r="E30" s="256">
        <f t="shared" si="0"/>
        <v>52885.55</v>
      </c>
      <c r="G30" s="260"/>
      <c r="H30" s="259"/>
      <c r="I30" s="262"/>
      <c r="J30" s="262"/>
    </row>
    <row r="31" spans="1:10" x14ac:dyDescent="0.3">
      <c r="A31" s="253">
        <v>27</v>
      </c>
      <c r="B31" s="270" t="s">
        <v>44</v>
      </c>
      <c r="C31" s="255">
        <v>420194.89</v>
      </c>
      <c r="D31" s="255">
        <v>185368</v>
      </c>
      <c r="E31" s="256">
        <f t="shared" si="0"/>
        <v>605562.89</v>
      </c>
      <c r="G31" s="260"/>
      <c r="H31" s="259"/>
      <c r="I31" s="262"/>
      <c r="J31" s="262"/>
    </row>
    <row r="32" spans="1:10" x14ac:dyDescent="0.3">
      <c r="A32" s="253">
        <v>28</v>
      </c>
      <c r="B32" s="270" t="s">
        <v>29</v>
      </c>
      <c r="C32" s="255">
        <v>89121.72</v>
      </c>
      <c r="D32" s="255">
        <v>95577.959999999992</v>
      </c>
      <c r="E32" s="256">
        <f t="shared" si="0"/>
        <v>184699.68</v>
      </c>
      <c r="G32" s="260"/>
      <c r="H32" s="259"/>
      <c r="I32" s="262"/>
      <c r="J32" s="262"/>
    </row>
    <row r="33" spans="1:10" x14ac:dyDescent="0.3">
      <c r="A33" s="253">
        <v>29</v>
      </c>
      <c r="B33" s="270" t="s">
        <v>30</v>
      </c>
      <c r="C33" s="255">
        <v>197547.49000000005</v>
      </c>
      <c r="D33" s="255">
        <v>114665.70000000001</v>
      </c>
      <c r="E33" s="256">
        <f t="shared" si="0"/>
        <v>312213.19000000006</v>
      </c>
      <c r="G33" s="260"/>
      <c r="H33" s="259"/>
      <c r="I33" s="262"/>
      <c r="J33" s="262"/>
    </row>
    <row r="34" spans="1:10" x14ac:dyDescent="0.3">
      <c r="A34" s="253">
        <v>30</v>
      </c>
      <c r="B34" s="270" t="s">
        <v>55</v>
      </c>
      <c r="C34" s="255">
        <v>2302053.71</v>
      </c>
      <c r="D34" s="255">
        <v>831638.82</v>
      </c>
      <c r="E34" s="256">
        <f t="shared" si="0"/>
        <v>3133692.53</v>
      </c>
      <c r="G34" s="260"/>
      <c r="H34" s="259"/>
      <c r="I34" s="262"/>
      <c r="J34" s="262"/>
    </row>
    <row r="35" spans="1:10" x14ac:dyDescent="0.3">
      <c r="A35" s="253">
        <v>31</v>
      </c>
      <c r="B35" s="270" t="s">
        <v>31</v>
      </c>
      <c r="C35" s="255">
        <v>293685.23</v>
      </c>
      <c r="D35" s="255">
        <v>53532.36</v>
      </c>
      <c r="E35" s="256">
        <f t="shared" si="0"/>
        <v>347217.58999999997</v>
      </c>
      <c r="G35" s="260"/>
      <c r="H35" s="259"/>
      <c r="I35" s="262"/>
      <c r="J35" s="262"/>
    </row>
    <row r="36" spans="1:10" x14ac:dyDescent="0.3">
      <c r="A36" s="253">
        <v>32</v>
      </c>
      <c r="B36" s="270" t="s">
        <v>15</v>
      </c>
      <c r="C36" s="255">
        <v>76187.239999999991</v>
      </c>
      <c r="D36" s="255">
        <v>61013.7</v>
      </c>
      <c r="E36" s="256">
        <f t="shared" si="0"/>
        <v>137200.94</v>
      </c>
      <c r="G36" s="260"/>
      <c r="H36" s="259"/>
      <c r="I36" s="262"/>
      <c r="J36" s="262"/>
    </row>
    <row r="37" spans="1:10" x14ac:dyDescent="0.3">
      <c r="A37" s="253">
        <v>33</v>
      </c>
      <c r="B37" s="270" t="s">
        <v>56</v>
      </c>
      <c r="C37" s="255">
        <v>1172340.4699999997</v>
      </c>
      <c r="D37" s="255">
        <v>812421.2300000001</v>
      </c>
      <c r="E37" s="256">
        <f t="shared" si="0"/>
        <v>1984761.6999999997</v>
      </c>
      <c r="G37" s="260"/>
      <c r="H37" s="259"/>
      <c r="I37" s="262"/>
      <c r="J37" s="262"/>
    </row>
    <row r="38" spans="1:10" x14ac:dyDescent="0.3">
      <c r="A38" s="253">
        <v>34</v>
      </c>
      <c r="B38" s="270" t="s">
        <v>57</v>
      </c>
      <c r="C38" s="255">
        <v>1739035.4200000002</v>
      </c>
      <c r="D38" s="255">
        <v>545268.47</v>
      </c>
      <c r="E38" s="256">
        <f t="shared" si="0"/>
        <v>2284303.89</v>
      </c>
      <c r="G38" s="260"/>
      <c r="H38" s="259"/>
      <c r="I38" s="262"/>
      <c r="J38" s="262"/>
    </row>
    <row r="39" spans="1:10" x14ac:dyDescent="0.3">
      <c r="A39" s="253">
        <v>35</v>
      </c>
      <c r="B39" s="270" t="s">
        <v>16</v>
      </c>
      <c r="C39" s="255">
        <v>91834.840000000011</v>
      </c>
      <c r="D39" s="255">
        <v>80365.989999999991</v>
      </c>
      <c r="E39" s="256">
        <f t="shared" si="0"/>
        <v>172200.83000000002</v>
      </c>
      <c r="G39" s="260"/>
      <c r="H39" s="259"/>
      <c r="I39" s="262"/>
      <c r="J39" s="262"/>
    </row>
    <row r="40" spans="1:10" x14ac:dyDescent="0.3">
      <c r="A40" s="253">
        <v>36</v>
      </c>
      <c r="B40" s="270" t="s">
        <v>58</v>
      </c>
      <c r="C40" s="255">
        <v>3450524.54</v>
      </c>
      <c r="D40" s="255">
        <v>708957.35</v>
      </c>
      <c r="E40" s="256">
        <f t="shared" si="0"/>
        <v>4159481.89</v>
      </c>
      <c r="G40" s="260"/>
      <c r="H40" s="259"/>
      <c r="I40" s="262"/>
      <c r="J40" s="262"/>
    </row>
    <row r="41" spans="1:10" x14ac:dyDescent="0.3">
      <c r="A41" s="253">
        <v>37</v>
      </c>
      <c r="B41" s="270" t="s">
        <v>59</v>
      </c>
      <c r="C41" s="255">
        <v>2876424</v>
      </c>
      <c r="D41" s="255">
        <v>988454.00000000012</v>
      </c>
      <c r="E41" s="256">
        <f t="shared" si="0"/>
        <v>3864878</v>
      </c>
      <c r="G41" s="260"/>
      <c r="H41" s="259"/>
      <c r="I41" s="262"/>
      <c r="J41" s="262"/>
    </row>
    <row r="42" spans="1:10" x14ac:dyDescent="0.3">
      <c r="A42" s="253">
        <v>38</v>
      </c>
      <c r="B42" s="270" t="s">
        <v>60</v>
      </c>
      <c r="C42" s="255">
        <v>943417.77</v>
      </c>
      <c r="D42" s="255">
        <v>243324.16000000003</v>
      </c>
      <c r="E42" s="256">
        <f t="shared" si="0"/>
        <v>1186741.9300000002</v>
      </c>
      <c r="G42" s="260"/>
      <c r="H42" s="259"/>
      <c r="I42" s="262"/>
      <c r="J42" s="262"/>
    </row>
    <row r="43" spans="1:10" x14ac:dyDescent="0.3">
      <c r="A43" s="253">
        <v>39</v>
      </c>
      <c r="B43" s="270" t="s">
        <v>45</v>
      </c>
      <c r="C43" s="255">
        <v>740216.78999999992</v>
      </c>
      <c r="D43" s="255">
        <v>258909.86</v>
      </c>
      <c r="E43" s="256">
        <f t="shared" si="0"/>
        <v>999126.64999999991</v>
      </c>
      <c r="G43" s="260"/>
      <c r="H43" s="259"/>
      <c r="I43" s="262"/>
      <c r="J43" s="262"/>
    </row>
    <row r="44" spans="1:10" x14ac:dyDescent="0.3">
      <c r="A44" s="253">
        <v>40</v>
      </c>
      <c r="B44" s="270" t="s">
        <v>32</v>
      </c>
      <c r="C44" s="255">
        <v>174500.24000000002</v>
      </c>
      <c r="D44" s="255">
        <v>78496.56</v>
      </c>
      <c r="E44" s="256">
        <f t="shared" si="0"/>
        <v>252996.80000000002</v>
      </c>
      <c r="G44" s="260"/>
      <c r="H44" s="259"/>
      <c r="I44" s="262"/>
      <c r="J44" s="262"/>
    </row>
    <row r="45" spans="1:10" x14ac:dyDescent="0.3">
      <c r="A45" s="253">
        <v>41</v>
      </c>
      <c r="B45" s="270" t="s">
        <v>46</v>
      </c>
      <c r="C45" s="255">
        <v>358791.54</v>
      </c>
      <c r="D45" s="255">
        <v>252733.99999999997</v>
      </c>
      <c r="E45" s="256">
        <f t="shared" si="0"/>
        <v>611525.53999999992</v>
      </c>
      <c r="G45" s="260"/>
      <c r="H45" s="259"/>
      <c r="I45" s="262"/>
      <c r="J45" s="262"/>
    </row>
    <row r="46" spans="1:10" x14ac:dyDescent="0.3">
      <c r="A46" s="253">
        <v>42</v>
      </c>
      <c r="B46" s="270" t="s">
        <v>47</v>
      </c>
      <c r="C46" s="255">
        <v>595221.00000000012</v>
      </c>
      <c r="D46" s="255">
        <v>147261.23000000001</v>
      </c>
      <c r="E46" s="256">
        <f t="shared" si="0"/>
        <v>742482.2300000001</v>
      </c>
      <c r="G46" s="260"/>
      <c r="H46" s="259"/>
      <c r="I46" s="262"/>
      <c r="J46" s="262"/>
    </row>
    <row r="47" spans="1:10" x14ac:dyDescent="0.3">
      <c r="A47" s="253">
        <v>43</v>
      </c>
      <c r="B47" s="270" t="s">
        <v>61</v>
      </c>
      <c r="C47" s="255">
        <v>1347015.0000000002</v>
      </c>
      <c r="D47" s="255">
        <v>374108.41</v>
      </c>
      <c r="E47" s="256">
        <f t="shared" si="0"/>
        <v>1721123.4100000001</v>
      </c>
      <c r="G47" s="260"/>
      <c r="H47" s="259"/>
      <c r="I47" s="262"/>
      <c r="J47" s="262"/>
    </row>
    <row r="48" spans="1:10" x14ac:dyDescent="0.3">
      <c r="A48" s="253">
        <v>44</v>
      </c>
      <c r="B48" s="270" t="s">
        <v>33</v>
      </c>
      <c r="C48" s="255">
        <v>222835.97999999995</v>
      </c>
      <c r="D48" s="255">
        <v>126201.86</v>
      </c>
      <c r="E48" s="256">
        <f t="shared" si="0"/>
        <v>349037.83999999997</v>
      </c>
      <c r="G48" s="260"/>
      <c r="H48" s="259"/>
      <c r="I48" s="262"/>
      <c r="J48" s="262"/>
    </row>
    <row r="49" spans="1:10" x14ac:dyDescent="0.3">
      <c r="A49" s="253">
        <v>45</v>
      </c>
      <c r="B49" s="270" t="s">
        <v>34</v>
      </c>
      <c r="C49" s="255">
        <v>418416.91000000003</v>
      </c>
      <c r="D49" s="255">
        <v>205689.58000000002</v>
      </c>
      <c r="E49" s="256">
        <f t="shared" si="0"/>
        <v>624106.49</v>
      </c>
      <c r="G49" s="260"/>
      <c r="H49" s="259"/>
      <c r="I49" s="262"/>
      <c r="J49" s="262"/>
    </row>
    <row r="50" spans="1:10" x14ac:dyDescent="0.3">
      <c r="A50" s="253">
        <v>46</v>
      </c>
      <c r="B50" s="270" t="s">
        <v>17</v>
      </c>
      <c r="C50" s="255">
        <v>0</v>
      </c>
      <c r="D50" s="255">
        <v>0</v>
      </c>
      <c r="E50" s="256">
        <f t="shared" si="0"/>
        <v>0</v>
      </c>
      <c r="G50" s="259"/>
      <c r="H50" s="259"/>
    </row>
    <row r="51" spans="1:10" x14ac:dyDescent="0.3">
      <c r="A51" s="253">
        <v>47</v>
      </c>
      <c r="B51" s="270" t="s">
        <v>35</v>
      </c>
      <c r="C51" s="255">
        <v>64775.010000000009</v>
      </c>
      <c r="D51" s="255">
        <v>99908.97</v>
      </c>
      <c r="E51" s="256">
        <f t="shared" si="0"/>
        <v>164683.98000000001</v>
      </c>
      <c r="G51" s="259"/>
      <c r="H51" s="259"/>
      <c r="I51" s="262"/>
      <c r="J51" s="262"/>
    </row>
    <row r="52" spans="1:10" x14ac:dyDescent="0.3">
      <c r="A52" s="253">
        <v>48</v>
      </c>
      <c r="B52" s="270" t="s">
        <v>48</v>
      </c>
      <c r="C52" s="255">
        <v>571411.84000000008</v>
      </c>
      <c r="D52" s="255">
        <v>165659.61000000002</v>
      </c>
      <c r="E52" s="256">
        <f t="shared" si="0"/>
        <v>737071.45000000007</v>
      </c>
      <c r="G52" s="259"/>
      <c r="H52" s="259"/>
      <c r="I52" s="262"/>
      <c r="J52" s="262"/>
    </row>
    <row r="53" spans="1:10" x14ac:dyDescent="0.3">
      <c r="A53" s="253">
        <v>49</v>
      </c>
      <c r="B53" s="270" t="s">
        <v>49</v>
      </c>
      <c r="C53" s="255">
        <v>199232</v>
      </c>
      <c r="D53" s="255">
        <v>103705.42</v>
      </c>
      <c r="E53" s="256">
        <f t="shared" si="0"/>
        <v>302937.42</v>
      </c>
      <c r="G53" s="259"/>
      <c r="H53" s="259"/>
      <c r="I53" s="262"/>
      <c r="J53" s="262"/>
    </row>
    <row r="54" spans="1:10" x14ac:dyDescent="0.3">
      <c r="A54" s="253">
        <v>50</v>
      </c>
      <c r="B54" s="270" t="s">
        <v>50</v>
      </c>
      <c r="C54" s="255">
        <v>928709.60999999987</v>
      </c>
      <c r="D54" s="255">
        <v>296678.98</v>
      </c>
      <c r="E54" s="256">
        <f t="shared" si="0"/>
        <v>1225388.5899999999</v>
      </c>
      <c r="G54" s="259"/>
      <c r="H54" s="259"/>
      <c r="I54" s="262"/>
      <c r="J54" s="262"/>
    </row>
    <row r="55" spans="1:10" x14ac:dyDescent="0.3">
      <c r="A55" s="253">
        <v>51</v>
      </c>
      <c r="B55" s="270" t="s">
        <v>36</v>
      </c>
      <c r="C55" s="255">
        <v>174074.51</v>
      </c>
      <c r="D55" s="255">
        <v>83818.949999999983</v>
      </c>
      <c r="E55" s="256">
        <f t="shared" si="0"/>
        <v>257893.46</v>
      </c>
      <c r="G55" s="259"/>
      <c r="H55" s="259"/>
      <c r="I55" s="262"/>
      <c r="J55" s="262"/>
    </row>
    <row r="56" spans="1:10" x14ac:dyDescent="0.3">
      <c r="A56" s="253">
        <v>52</v>
      </c>
      <c r="B56" s="270" t="s">
        <v>37</v>
      </c>
      <c r="C56" s="255">
        <v>149478.87999999998</v>
      </c>
      <c r="D56" s="255">
        <v>34930</v>
      </c>
      <c r="E56" s="256">
        <f t="shared" si="0"/>
        <v>184408.87999999998</v>
      </c>
      <c r="G56" s="259"/>
      <c r="H56" s="259"/>
      <c r="I56" s="262"/>
      <c r="J56" s="262"/>
    </row>
    <row r="57" spans="1:10" x14ac:dyDescent="0.3">
      <c r="A57" s="253">
        <v>53</v>
      </c>
      <c r="B57" s="270" t="s">
        <v>18</v>
      </c>
      <c r="C57" s="255">
        <v>0</v>
      </c>
      <c r="D57" s="255">
        <v>0</v>
      </c>
      <c r="E57" s="256">
        <f t="shared" si="0"/>
        <v>0</v>
      </c>
      <c r="G57" s="259"/>
      <c r="H57" s="259"/>
    </row>
    <row r="58" spans="1:10" x14ac:dyDescent="0.3">
      <c r="A58" s="253">
        <v>54</v>
      </c>
      <c r="B58" s="270" t="s">
        <v>51</v>
      </c>
      <c r="C58" s="255">
        <v>529385.44000000006</v>
      </c>
      <c r="D58" s="255">
        <v>402869.14</v>
      </c>
      <c r="E58" s="256">
        <f t="shared" si="0"/>
        <v>932254.58000000007</v>
      </c>
      <c r="G58" s="259"/>
      <c r="H58" s="259"/>
      <c r="I58" s="262"/>
      <c r="J58" s="262"/>
    </row>
    <row r="59" spans="1:10" x14ac:dyDescent="0.3">
      <c r="A59" s="253">
        <v>55</v>
      </c>
      <c r="B59" s="270" t="s">
        <v>38</v>
      </c>
      <c r="C59" s="255">
        <v>209636.33000000002</v>
      </c>
      <c r="D59" s="255">
        <v>78581.01999999999</v>
      </c>
      <c r="E59" s="256">
        <f t="shared" si="0"/>
        <v>288217.34999999998</v>
      </c>
      <c r="G59" s="259"/>
      <c r="H59" s="259"/>
      <c r="I59" s="262"/>
      <c r="J59" s="262"/>
    </row>
    <row r="60" spans="1:10" x14ac:dyDescent="0.3">
      <c r="A60" s="253">
        <v>56</v>
      </c>
      <c r="B60" s="270" t="s">
        <v>52</v>
      </c>
      <c r="C60" s="255">
        <v>288638.32</v>
      </c>
      <c r="D60" s="255">
        <v>318989.84000000003</v>
      </c>
      <c r="E60" s="256">
        <f t="shared" si="0"/>
        <v>607628.16</v>
      </c>
      <c r="G60" s="259"/>
      <c r="H60" s="259"/>
      <c r="I60" s="262"/>
      <c r="J60" s="262"/>
    </row>
    <row r="61" spans="1:10" x14ac:dyDescent="0.3">
      <c r="A61" s="253">
        <v>57</v>
      </c>
      <c r="B61" s="270" t="s">
        <v>39</v>
      </c>
      <c r="C61" s="255">
        <v>187456.49</v>
      </c>
      <c r="D61" s="255">
        <v>115452.98</v>
      </c>
      <c r="E61" s="256">
        <f t="shared" si="0"/>
        <v>302909.46999999997</v>
      </c>
      <c r="G61" s="259"/>
      <c r="H61" s="259"/>
      <c r="I61" s="262"/>
      <c r="J61" s="262"/>
    </row>
    <row r="62" spans="1:10" x14ac:dyDescent="0.3">
      <c r="A62" s="253">
        <v>58</v>
      </c>
      <c r="B62" s="270" t="s">
        <v>40</v>
      </c>
      <c r="C62" s="255">
        <v>135716.01</v>
      </c>
      <c r="D62" s="255">
        <v>56130.97</v>
      </c>
      <c r="E62" s="256">
        <f t="shared" si="0"/>
        <v>191846.98</v>
      </c>
      <c r="G62" s="259"/>
      <c r="H62" s="259"/>
      <c r="I62" s="262"/>
      <c r="J62" s="262"/>
    </row>
    <row r="63" spans="1:10" ht="15" thickBot="1" x14ac:dyDescent="0.35">
      <c r="B63" s="3" t="s">
        <v>215</v>
      </c>
      <c r="C63" s="257">
        <f>SUM(C5:C62)</f>
        <v>37266385.459999993</v>
      </c>
      <c r="D63" s="257">
        <f>SUM(D5:D62)</f>
        <v>13760202.140000002</v>
      </c>
      <c r="E63" s="257">
        <f>SUM(E5:E62)</f>
        <v>51026587.599999994</v>
      </c>
    </row>
    <row r="64" spans="1:10" ht="15" thickTop="1" x14ac:dyDescent="0.3"/>
  </sheetData>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21875" defaultRowHeight="14.4" x14ac:dyDescent="0.3"/>
  <cols>
    <col min="1" max="1" width="8.44140625" style="53" customWidth="1"/>
    <col min="2" max="2" width="13.77734375" style="53" bestFit="1" customWidth="1"/>
    <col min="3" max="3" width="1.77734375" style="53" customWidth="1"/>
    <col min="4" max="4" width="14.21875" style="53" bestFit="1" customWidth="1"/>
    <col min="5" max="5" width="10" style="57" bestFit="1" customWidth="1"/>
    <col min="6" max="6" width="14.77734375" style="171" bestFit="1" customWidth="1"/>
    <col min="7" max="7" width="1.77734375" style="53" customWidth="1"/>
    <col min="8" max="8" width="12.21875" style="171" bestFit="1" customWidth="1"/>
    <col min="9" max="9" width="9.21875" style="171" customWidth="1"/>
    <col min="10" max="11" width="12.5546875" style="53" bestFit="1" customWidth="1"/>
    <col min="12" max="12" width="1.77734375" style="53" customWidth="1"/>
    <col min="13" max="13" width="13" style="171" customWidth="1"/>
    <col min="14" max="15" width="10.77734375" style="53" hidden="1" customWidth="1"/>
    <col min="16" max="16" width="12.77734375" style="53" hidden="1" customWidth="1"/>
    <col min="17" max="17" width="14" style="53" hidden="1" customWidth="1"/>
    <col min="18" max="18" width="9" style="53" hidden="1" customWidth="1"/>
    <col min="19" max="19" width="12.21875" style="53" hidden="1" customWidth="1"/>
    <col min="20" max="20" width="13.44140625" style="53" hidden="1" customWidth="1"/>
    <col min="21" max="16384" width="9.21875" style="53"/>
  </cols>
  <sheetData>
    <row r="1" spans="1:20" ht="23.7" customHeight="1" x14ac:dyDescent="0.3">
      <c r="A1" s="164" t="s">
        <v>189</v>
      </c>
      <c r="C1" s="51"/>
      <c r="G1" s="51"/>
      <c r="L1" s="51"/>
    </row>
    <row r="2" spans="1:20" ht="16.5" customHeight="1" x14ac:dyDescent="0.3">
      <c r="A2" s="173" t="s">
        <v>207</v>
      </c>
      <c r="C2" s="51"/>
      <c r="G2" s="51"/>
      <c r="L2" s="51"/>
    </row>
    <row r="3" spans="1:20" ht="16.5" customHeight="1" x14ac:dyDescent="0.3">
      <c r="C3" s="51"/>
      <c r="G3" s="51"/>
      <c r="L3" s="51"/>
    </row>
    <row r="4" spans="1:20" ht="16.5" customHeight="1" x14ac:dyDescent="0.3">
      <c r="A4" s="315"/>
      <c r="B4" s="315"/>
      <c r="C4" s="81"/>
      <c r="D4" s="315"/>
      <c r="E4" s="315"/>
      <c r="G4" s="81"/>
      <c r="H4" s="290" t="s">
        <v>96</v>
      </c>
      <c r="I4" s="291"/>
      <c r="J4" s="291"/>
      <c r="K4" s="291"/>
      <c r="L4" s="81"/>
      <c r="N4" s="319"/>
      <c r="O4" s="319"/>
      <c r="P4" s="319"/>
      <c r="Q4" s="319"/>
      <c r="R4" s="319"/>
      <c r="S4" s="319"/>
      <c r="T4" s="176"/>
    </row>
    <row r="5" spans="1:20" ht="67.2" customHeight="1" x14ac:dyDescent="0.3">
      <c r="A5" s="316" t="s">
        <v>68</v>
      </c>
      <c r="B5" s="317" t="s">
        <v>63</v>
      </c>
      <c r="C5" s="81"/>
      <c r="D5" s="9" t="s">
        <v>187</v>
      </c>
      <c r="E5" s="10" t="s">
        <v>97</v>
      </c>
      <c r="F5" s="10" t="s">
        <v>190</v>
      </c>
      <c r="G5" s="81"/>
      <c r="H5" s="74" t="s">
        <v>75</v>
      </c>
      <c r="I5" s="74" t="s">
        <v>191</v>
      </c>
      <c r="J5" s="74" t="s">
        <v>195</v>
      </c>
      <c r="K5" s="74" t="s">
        <v>192</v>
      </c>
      <c r="L5" s="81"/>
      <c r="M5" s="73" t="s">
        <v>194</v>
      </c>
      <c r="N5" s="175" t="s">
        <v>78</v>
      </c>
      <c r="O5" s="175" t="s">
        <v>79</v>
      </c>
      <c r="P5" s="177" t="s">
        <v>111</v>
      </c>
      <c r="Q5" s="177" t="s">
        <v>94</v>
      </c>
      <c r="R5" s="177" t="s">
        <v>82</v>
      </c>
      <c r="S5" s="175" t="s">
        <v>95</v>
      </c>
      <c r="T5" s="175" t="s">
        <v>99</v>
      </c>
    </row>
    <row r="6" spans="1:20" x14ac:dyDescent="0.3">
      <c r="A6" s="316"/>
      <c r="B6" s="317"/>
      <c r="C6" s="81"/>
      <c r="D6" s="78" t="s">
        <v>65</v>
      </c>
      <c r="E6" s="78" t="s">
        <v>1</v>
      </c>
      <c r="F6" s="78" t="s">
        <v>66</v>
      </c>
      <c r="G6" s="81"/>
      <c r="H6" s="78" t="s">
        <v>2</v>
      </c>
      <c r="I6" s="78" t="s">
        <v>3</v>
      </c>
      <c r="J6" s="78" t="s">
        <v>83</v>
      </c>
      <c r="K6" s="78" t="s">
        <v>114</v>
      </c>
      <c r="L6" s="81"/>
      <c r="M6" s="78" t="s">
        <v>84</v>
      </c>
      <c r="N6" s="175"/>
      <c r="O6" s="175"/>
      <c r="P6" s="177"/>
      <c r="Q6" s="177"/>
      <c r="R6" s="177"/>
      <c r="S6" s="175"/>
      <c r="T6" s="175"/>
    </row>
    <row r="7" spans="1:20" ht="16.5" customHeight="1" x14ac:dyDescent="0.3">
      <c r="A7" s="65">
        <v>4</v>
      </c>
      <c r="B7" s="66" t="s">
        <v>53</v>
      </c>
      <c r="C7" s="82"/>
      <c r="D7" s="190">
        <f>VLOOKUP(B7,'WF Need'!$B$7:$AB$64,27, FALSE)</f>
        <v>94645176.982130736</v>
      </c>
      <c r="E7" s="92">
        <f>D7/$D$65</f>
        <v>3.4820482298970917E-2</v>
      </c>
      <c r="F7" s="251" t="e">
        <f>#REF!</f>
        <v>#REF!</v>
      </c>
      <c r="G7" s="82"/>
      <c r="H7" s="191" t="e">
        <f>IF(F7&lt;Floors!$E$4,Floors!$E$4, "-")</f>
        <v>#REF!</v>
      </c>
      <c r="I7" s="65" t="e">
        <f>IF(H7=800000,"Y","N")</f>
        <v>#REF!</v>
      </c>
      <c r="J7" s="188" t="e">
        <f>IF(I7="Y",VLOOKUP(B7,#REF!,2,FALSE)*1.1,"N/A ")</f>
        <v>#REF!</v>
      </c>
      <c r="K7" s="188" t="e">
        <f t="shared" ref="K7:K64" si="0">IF(I7="Y",F7, "N/A ")</f>
        <v>#REF!</v>
      </c>
      <c r="L7" s="82"/>
      <c r="M7" s="188" t="e">
        <f>IF(I7="Y",IF(H7=750000,750000,O7),"N/A")</f>
        <v>#REF!</v>
      </c>
      <c r="N7" s="178" t="e">
        <f t="shared" ref="N7:N64" si="1">IF(J7&lt;H7,J7,H7)</f>
        <v>#REF!</v>
      </c>
      <c r="O7" s="176" t="e">
        <f t="shared" ref="O7:O64" si="2">IF(K7&gt;N7,K7,N7)</f>
        <v>#REF!</v>
      </c>
      <c r="P7" s="178" t="e">
        <f>IF(M7="n/a",(IF(AND(H7=750000,(F7&gt;750000)), H7-F7, 0)),M7-F7)</f>
        <v>#REF!</v>
      </c>
      <c r="Q7" s="178" t="e">
        <f>IF(AND(P7=0,I7="N"),F7,0)</f>
        <v>#REF!</v>
      </c>
      <c r="R7" s="179" t="e">
        <f>Q7/$Q$65</f>
        <v>#REF!</v>
      </c>
      <c r="S7" s="178" t="e">
        <f>IF(P7=0,-R7*$P$65,0)</f>
        <v>#REF!</v>
      </c>
      <c r="T7" s="178" t="e">
        <f>IF(P7=0,-R7*$P$65,P7)</f>
        <v>#REF!</v>
      </c>
    </row>
    <row r="8" spans="1:20" ht="16.5" customHeight="1" x14ac:dyDescent="0.3">
      <c r="A8" s="65">
        <v>1</v>
      </c>
      <c r="B8" s="66" t="s">
        <v>4</v>
      </c>
      <c r="C8" s="81"/>
      <c r="D8" s="185">
        <f>VLOOKUP(B8,'WF Need'!$B$7:$AB$64,27, FALSE)</f>
        <v>549681.36921385862</v>
      </c>
      <c r="E8" s="92">
        <f t="shared" ref="E8:E64" si="3">D8/$D$65</f>
        <v>2.0223080559508041E-4</v>
      </c>
      <c r="F8" s="8" t="e">
        <f>#REF!</f>
        <v>#REF!</v>
      </c>
      <c r="G8" s="81"/>
      <c r="H8" s="191" t="e">
        <f>IF(F8&lt;Floors!$E$4,Floors!$E$4, "-")</f>
        <v>#REF!</v>
      </c>
      <c r="I8" s="65" t="e">
        <f t="shared" ref="I8:I64" si="4">IF(H8=800000,"Y","N")</f>
        <v>#REF!</v>
      </c>
      <c r="J8" s="188" t="e">
        <f>IF(I8="Y",VLOOKUP(B8,#REF!,2,FALSE)*1.1,"N/A ")</f>
        <v>#REF!</v>
      </c>
      <c r="K8" s="188" t="e">
        <f>IF(I8="Y",F8, "N/A ")</f>
        <v>#REF!</v>
      </c>
      <c r="L8" s="81"/>
      <c r="M8" s="188" t="e">
        <f t="shared" ref="M8:M64" si="5">IF(I8="Y",IF(H8=750000,750000,O8),"N/A")</f>
        <v>#REF!</v>
      </c>
      <c r="N8" s="178" t="e">
        <f>IF(J8&lt;H8,J8,H8)</f>
        <v>#REF!</v>
      </c>
      <c r="O8" s="176" t="e">
        <f>IF(K8&gt;N8,K8,N8)</f>
        <v>#REF!</v>
      </c>
      <c r="P8" s="178" t="e">
        <f>IF(M8="n/a",(IF(AND(H8=750000,(F8&gt;750000)), H8-F8, 0)),M8-F8)</f>
        <v>#REF!</v>
      </c>
      <c r="Q8" s="178" t="e">
        <f t="shared" ref="Q8:Q64" si="6">IF(AND(P8=0,I8="N"),F8,0)</f>
        <v>#REF!</v>
      </c>
      <c r="R8" s="179" t="e">
        <f>Q8/$Q$65</f>
        <v>#REF!</v>
      </c>
      <c r="S8" s="178" t="e">
        <f>IF(P8=0,-R8*$P$65,0)</f>
        <v>#REF!</v>
      </c>
      <c r="T8" s="178" t="e">
        <f>IF(P8=0,-R8*$P$65,P8)</f>
        <v>#REF!</v>
      </c>
    </row>
    <row r="9" spans="1:20" ht="16.5" customHeight="1" x14ac:dyDescent="0.3">
      <c r="A9" s="65">
        <v>1</v>
      </c>
      <c r="B9" s="66" t="s">
        <v>5</v>
      </c>
      <c r="D9" s="185">
        <f>VLOOKUP(B9,'WF Need'!$B$7:$AB$64,27, FALSE)</f>
        <v>4684703.161420295</v>
      </c>
      <c r="E9" s="92">
        <f t="shared" si="3"/>
        <v>1.7235281153203045E-3</v>
      </c>
      <c r="F9" s="8" t="e">
        <f>#REF!</f>
        <v>#REF!</v>
      </c>
      <c r="H9" s="191" t="e">
        <f>IF(F9&lt;Floors!$E$4,Floors!$E$4, "-")</f>
        <v>#REF!</v>
      </c>
      <c r="I9" s="65" t="e">
        <f t="shared" si="4"/>
        <v>#REF!</v>
      </c>
      <c r="J9" s="188" t="e">
        <f>IF(I9="Y",VLOOKUP(B9,#REF!,2,FALSE)*1.1,"N/A ")</f>
        <v>#REF!</v>
      </c>
      <c r="K9" s="188" t="e">
        <f t="shared" si="0"/>
        <v>#REF!</v>
      </c>
      <c r="M9" s="188" t="e">
        <f t="shared" si="5"/>
        <v>#REF!</v>
      </c>
      <c r="N9" s="178" t="e">
        <f t="shared" si="1"/>
        <v>#REF!</v>
      </c>
      <c r="O9" s="176" t="e">
        <f t="shared" si="2"/>
        <v>#REF!</v>
      </c>
      <c r="P9" s="178" t="e">
        <f t="shared" ref="P9:P27" si="7">IF(M9="n/a",(IF(AND(H9=750000,(F9&gt;750000)), H9-F9, 0)),M9-F9)</f>
        <v>#REF!</v>
      </c>
      <c r="Q9" s="178" t="e">
        <f t="shared" si="6"/>
        <v>#REF!</v>
      </c>
      <c r="R9" s="179" t="e">
        <f t="shared" ref="R9:R64" si="8">Q9/$Q$65</f>
        <v>#REF!</v>
      </c>
      <c r="S9" s="178" t="e">
        <f t="shared" ref="S9:S64" si="9">IF(P9=0,-R9*$P$65,0)</f>
        <v>#REF!</v>
      </c>
      <c r="T9" s="178" t="e">
        <f t="shared" ref="T9:T64" si="10">IF(P9=0,-R9*$P$65,P9)</f>
        <v>#REF!</v>
      </c>
    </row>
    <row r="10" spans="1:20" ht="16.5" customHeight="1" x14ac:dyDescent="0.3">
      <c r="A10" s="65">
        <v>2</v>
      </c>
      <c r="B10" s="66" t="s">
        <v>19</v>
      </c>
      <c r="D10" s="185">
        <f>VLOOKUP(B10,'WF Need'!$B$7:$AB$64,27, FALSE)</f>
        <v>14689950.595214264</v>
      </c>
      <c r="E10" s="92">
        <f t="shared" si="3"/>
        <v>5.404513795457218E-3</v>
      </c>
      <c r="F10" s="8" t="e">
        <f>#REF!</f>
        <v>#REF!</v>
      </c>
      <c r="H10" s="191" t="e">
        <f>IF(F10&lt;Floors!$E$4,Floors!$E$4, "-")</f>
        <v>#REF!</v>
      </c>
      <c r="I10" s="65" t="e">
        <f t="shared" si="4"/>
        <v>#REF!</v>
      </c>
      <c r="J10" s="188" t="e">
        <f>IF(I10="Y",VLOOKUP(B10,#REF!,2,FALSE)*1.1,"N/A ")</f>
        <v>#REF!</v>
      </c>
      <c r="K10" s="188" t="e">
        <f t="shared" si="0"/>
        <v>#REF!</v>
      </c>
      <c r="M10" s="188" t="e">
        <f t="shared" si="5"/>
        <v>#REF!</v>
      </c>
      <c r="N10" s="178" t="e">
        <f t="shared" si="1"/>
        <v>#REF!</v>
      </c>
      <c r="O10" s="176" t="e">
        <f t="shared" si="2"/>
        <v>#REF!</v>
      </c>
      <c r="P10" s="178" t="e">
        <f t="shared" si="7"/>
        <v>#REF!</v>
      </c>
      <c r="Q10" s="178" t="e">
        <f t="shared" si="6"/>
        <v>#REF!</v>
      </c>
      <c r="R10" s="179" t="e">
        <f t="shared" si="8"/>
        <v>#REF!</v>
      </c>
      <c r="S10" s="178" t="e">
        <f t="shared" si="9"/>
        <v>#REF!</v>
      </c>
      <c r="T10" s="178" t="e">
        <f t="shared" si="10"/>
        <v>#REF!</v>
      </c>
    </row>
    <row r="11" spans="1:20" ht="16.5" customHeight="1" x14ac:dyDescent="0.3">
      <c r="A11" s="65">
        <v>1</v>
      </c>
      <c r="B11" s="66" t="s">
        <v>6</v>
      </c>
      <c r="D11" s="185">
        <f>VLOOKUP(B11,'WF Need'!$B$7:$AB$64,27, FALSE)</f>
        <v>3767569.9377889987</v>
      </c>
      <c r="E11" s="92">
        <f t="shared" si="3"/>
        <v>1.3861097470786656E-3</v>
      </c>
      <c r="F11" s="8" t="e">
        <f>#REF!</f>
        <v>#REF!</v>
      </c>
      <c r="H11" s="191" t="e">
        <f>IF(F11&lt;Floors!$E$4,Floors!$E$4, "-")</f>
        <v>#REF!</v>
      </c>
      <c r="I11" s="65" t="e">
        <f t="shared" si="4"/>
        <v>#REF!</v>
      </c>
      <c r="J11" s="188" t="e">
        <f>IF(I11="Y",VLOOKUP(B11,#REF!,2,FALSE)*1.1,"N/A ")</f>
        <v>#REF!</v>
      </c>
      <c r="K11" s="188" t="e">
        <f t="shared" si="0"/>
        <v>#REF!</v>
      </c>
      <c r="M11" s="188" t="e">
        <f t="shared" si="5"/>
        <v>#REF!</v>
      </c>
      <c r="N11" s="178" t="e">
        <f t="shared" si="1"/>
        <v>#REF!</v>
      </c>
      <c r="O11" s="176" t="e">
        <f t="shared" si="2"/>
        <v>#REF!</v>
      </c>
      <c r="P11" s="178" t="e">
        <f t="shared" si="7"/>
        <v>#REF!</v>
      </c>
      <c r="Q11" s="178" t="e">
        <f t="shared" si="6"/>
        <v>#REF!</v>
      </c>
      <c r="R11" s="179" t="e">
        <f t="shared" si="8"/>
        <v>#REF!</v>
      </c>
      <c r="S11" s="178" t="e">
        <f t="shared" si="9"/>
        <v>#REF!</v>
      </c>
      <c r="T11" s="178" t="e">
        <f t="shared" si="10"/>
        <v>#REF!</v>
      </c>
    </row>
    <row r="12" spans="1:20" ht="16.5" customHeight="1" x14ac:dyDescent="0.3">
      <c r="A12" s="65">
        <v>1</v>
      </c>
      <c r="B12" s="66" t="s">
        <v>7</v>
      </c>
      <c r="C12" s="83"/>
      <c r="D12" s="185">
        <f>VLOOKUP(B12,'WF Need'!$B$7:$AB$64,27, FALSE)</f>
        <v>2635031.9874839764</v>
      </c>
      <c r="E12" s="92">
        <f t="shared" si="3"/>
        <v>9.6944279257601452E-4</v>
      </c>
      <c r="F12" s="8" t="e">
        <f>#REF!</f>
        <v>#REF!</v>
      </c>
      <c r="G12" s="83"/>
      <c r="H12" s="191" t="e">
        <f>IF(F12&lt;Floors!$E$4,Floors!$E$4, "-")</f>
        <v>#REF!</v>
      </c>
      <c r="I12" s="65" t="e">
        <f t="shared" si="4"/>
        <v>#REF!</v>
      </c>
      <c r="J12" s="188" t="e">
        <f>IF(I12="Y",VLOOKUP(B12,#REF!,2,FALSE)*1.1,"N/A ")</f>
        <v>#REF!</v>
      </c>
      <c r="K12" s="188" t="e">
        <f t="shared" si="0"/>
        <v>#REF!</v>
      </c>
      <c r="L12" s="83"/>
      <c r="M12" s="188" t="e">
        <f t="shared" si="5"/>
        <v>#REF!</v>
      </c>
      <c r="N12" s="178" t="e">
        <f t="shared" si="1"/>
        <v>#REF!</v>
      </c>
      <c r="O12" s="176" t="e">
        <f>IF(K12&gt;N12,K12,N12)</f>
        <v>#REF!</v>
      </c>
      <c r="P12" s="178" t="e">
        <f t="shared" si="7"/>
        <v>#REF!</v>
      </c>
      <c r="Q12" s="178" t="e">
        <f t="shared" si="6"/>
        <v>#REF!</v>
      </c>
      <c r="R12" s="179" t="e">
        <f t="shared" si="8"/>
        <v>#REF!</v>
      </c>
      <c r="S12" s="178" t="e">
        <f t="shared" si="9"/>
        <v>#REF!</v>
      </c>
      <c r="T12" s="178" t="e">
        <f t="shared" si="10"/>
        <v>#REF!</v>
      </c>
    </row>
    <row r="13" spans="1:20" ht="16.5" customHeight="1" x14ac:dyDescent="0.3">
      <c r="A13" s="65">
        <v>3</v>
      </c>
      <c r="B13" s="66" t="s">
        <v>41</v>
      </c>
      <c r="D13" s="185">
        <f>VLOOKUP(B13,'WF Need'!$B$7:$AB$64,27, FALSE)</f>
        <v>59907816.004695073</v>
      </c>
      <c r="E13" s="92">
        <f t="shared" si="3"/>
        <v>2.204041572192672E-2</v>
      </c>
      <c r="F13" s="8" t="e">
        <f>#REF!</f>
        <v>#REF!</v>
      </c>
      <c r="H13" s="191" t="e">
        <f>IF(F13&lt;Floors!$E$4,Floors!$E$4, "-")</f>
        <v>#REF!</v>
      </c>
      <c r="I13" s="65" t="e">
        <f t="shared" si="4"/>
        <v>#REF!</v>
      </c>
      <c r="J13" s="188" t="e">
        <f>IF(I13="Y",VLOOKUP(B13,#REF!,2,FALSE)*1.1,"N/A ")</f>
        <v>#REF!</v>
      </c>
      <c r="K13" s="188" t="e">
        <f t="shared" si="0"/>
        <v>#REF!</v>
      </c>
      <c r="M13" s="188" t="e">
        <f t="shared" si="5"/>
        <v>#REF!</v>
      </c>
      <c r="N13" s="178" t="e">
        <f t="shared" si="1"/>
        <v>#REF!</v>
      </c>
      <c r="O13" s="176" t="e">
        <f t="shared" si="2"/>
        <v>#REF!</v>
      </c>
      <c r="P13" s="178" t="e">
        <f t="shared" si="7"/>
        <v>#REF!</v>
      </c>
      <c r="Q13" s="178" t="e">
        <f t="shared" si="6"/>
        <v>#REF!</v>
      </c>
      <c r="R13" s="179" t="e">
        <f t="shared" si="8"/>
        <v>#REF!</v>
      </c>
      <c r="S13" s="178" t="e">
        <f t="shared" si="9"/>
        <v>#REF!</v>
      </c>
      <c r="T13" s="178" t="e">
        <f t="shared" si="10"/>
        <v>#REF!</v>
      </c>
    </row>
    <row r="14" spans="1:20" ht="16.5" customHeight="1" x14ac:dyDescent="0.3">
      <c r="A14" s="65">
        <v>1</v>
      </c>
      <c r="B14" s="66" t="s">
        <v>8</v>
      </c>
      <c r="D14" s="185">
        <f>VLOOKUP(B14,'WF Need'!$B$7:$AB$64,27, FALSE)</f>
        <v>3875339.0885847146</v>
      </c>
      <c r="E14" s="92">
        <f t="shared" si="3"/>
        <v>1.4257586116834182E-3</v>
      </c>
      <c r="F14" s="8" t="e">
        <f>#REF!</f>
        <v>#REF!</v>
      </c>
      <c r="H14" s="191" t="e">
        <f>IF(F14&lt;Floors!$E$4,Floors!$E$4, "-")</f>
        <v>#REF!</v>
      </c>
      <c r="I14" s="65" t="e">
        <f t="shared" si="4"/>
        <v>#REF!</v>
      </c>
      <c r="J14" s="188" t="e">
        <f>IF(I14="Y",VLOOKUP(B14,#REF!,2,FALSE)*1.1,"N/A ")</f>
        <v>#REF!</v>
      </c>
      <c r="K14" s="188" t="e">
        <f t="shared" si="0"/>
        <v>#REF!</v>
      </c>
      <c r="M14" s="188" t="e">
        <f t="shared" si="5"/>
        <v>#REF!</v>
      </c>
      <c r="N14" s="178" t="e">
        <f t="shared" si="1"/>
        <v>#REF!</v>
      </c>
      <c r="O14" s="176" t="e">
        <f t="shared" si="2"/>
        <v>#REF!</v>
      </c>
      <c r="P14" s="178" t="e">
        <f t="shared" si="7"/>
        <v>#REF!</v>
      </c>
      <c r="Q14" s="178" t="e">
        <f t="shared" si="6"/>
        <v>#REF!</v>
      </c>
      <c r="R14" s="179" t="e">
        <f t="shared" si="8"/>
        <v>#REF!</v>
      </c>
      <c r="S14" s="178" t="e">
        <f t="shared" si="9"/>
        <v>#REF!</v>
      </c>
      <c r="T14" s="178" t="e">
        <f t="shared" si="10"/>
        <v>#REF!</v>
      </c>
    </row>
    <row r="15" spans="1:20" ht="16.5" customHeight="1" x14ac:dyDescent="0.3">
      <c r="A15" s="65">
        <v>2</v>
      </c>
      <c r="B15" s="66" t="s">
        <v>20</v>
      </c>
      <c r="D15" s="185">
        <f>VLOOKUP(B15,'WF Need'!$B$7:$AB$64,27, FALSE)</f>
        <v>10819494.817626694</v>
      </c>
      <c r="E15" s="92">
        <f t="shared" si="3"/>
        <v>3.9805517808066161E-3</v>
      </c>
      <c r="F15" s="8" t="e">
        <f>#REF!</f>
        <v>#REF!</v>
      </c>
      <c r="H15" s="191" t="e">
        <f>IF(F15&lt;Floors!$E$4,Floors!$E$4, "-")</f>
        <v>#REF!</v>
      </c>
      <c r="I15" s="65" t="e">
        <f t="shared" si="4"/>
        <v>#REF!</v>
      </c>
      <c r="J15" s="188" t="e">
        <f>IF(I15="Y",VLOOKUP(B15,#REF!,2,FALSE)*1.1,"N/A ")</f>
        <v>#REF!</v>
      </c>
      <c r="K15" s="188" t="e">
        <f t="shared" si="0"/>
        <v>#REF!</v>
      </c>
      <c r="M15" s="188" t="e">
        <f t="shared" si="5"/>
        <v>#REF!</v>
      </c>
      <c r="N15" s="178" t="e">
        <f t="shared" si="1"/>
        <v>#REF!</v>
      </c>
      <c r="O15" s="176" t="e">
        <f t="shared" si="2"/>
        <v>#REF!</v>
      </c>
      <c r="P15" s="178" t="e">
        <f t="shared" si="7"/>
        <v>#REF!</v>
      </c>
      <c r="Q15" s="178" t="e">
        <f t="shared" si="6"/>
        <v>#REF!</v>
      </c>
      <c r="R15" s="179" t="e">
        <f t="shared" si="8"/>
        <v>#REF!</v>
      </c>
      <c r="S15" s="178" t="e">
        <f t="shared" si="9"/>
        <v>#REF!</v>
      </c>
      <c r="T15" s="178" t="e">
        <f t="shared" si="10"/>
        <v>#REF!</v>
      </c>
    </row>
    <row r="16" spans="1:20" ht="16.5" customHeight="1" x14ac:dyDescent="0.3">
      <c r="A16" s="65">
        <v>3</v>
      </c>
      <c r="B16" s="66" t="s">
        <v>42</v>
      </c>
      <c r="D16" s="185">
        <f>VLOOKUP(B16,'WF Need'!$B$7:$AB$64,27, FALSE)</f>
        <v>66287167.105184592</v>
      </c>
      <c r="E16" s="92">
        <f t="shared" si="3"/>
        <v>2.4387414154984275E-2</v>
      </c>
      <c r="F16" s="8" t="e">
        <f>#REF!</f>
        <v>#REF!</v>
      </c>
      <c r="H16" s="191" t="e">
        <f>IF(F16&lt;Floors!$E$4,Floors!$E$4, "-")</f>
        <v>#REF!</v>
      </c>
      <c r="I16" s="65" t="e">
        <f t="shared" si="4"/>
        <v>#REF!</v>
      </c>
      <c r="J16" s="188" t="e">
        <f>IF(I16="Y",VLOOKUP(B16,#REF!,2,FALSE)*1.1,"N/A ")</f>
        <v>#REF!</v>
      </c>
      <c r="K16" s="188" t="e">
        <f t="shared" si="0"/>
        <v>#REF!</v>
      </c>
      <c r="M16" s="188" t="e">
        <f t="shared" si="5"/>
        <v>#REF!</v>
      </c>
      <c r="N16" s="178" t="e">
        <f t="shared" si="1"/>
        <v>#REF!</v>
      </c>
      <c r="O16" s="176" t="e">
        <f t="shared" si="2"/>
        <v>#REF!</v>
      </c>
      <c r="P16" s="178" t="e">
        <f t="shared" si="7"/>
        <v>#REF!</v>
      </c>
      <c r="Q16" s="178" t="e">
        <f t="shared" si="6"/>
        <v>#REF!</v>
      </c>
      <c r="R16" s="179" t="e">
        <f t="shared" si="8"/>
        <v>#REF!</v>
      </c>
      <c r="S16" s="178" t="e">
        <f t="shared" si="9"/>
        <v>#REF!</v>
      </c>
      <c r="T16" s="178" t="e">
        <f t="shared" si="10"/>
        <v>#REF!</v>
      </c>
    </row>
    <row r="17" spans="1:20" ht="16.5" customHeight="1" x14ac:dyDescent="0.3">
      <c r="A17" s="65">
        <v>1</v>
      </c>
      <c r="B17" s="66" t="s">
        <v>9</v>
      </c>
      <c r="D17" s="185">
        <f>VLOOKUP(B17,'WF Need'!$B$7:$AB$64,27, FALSE)</f>
        <v>3237289.1993662566</v>
      </c>
      <c r="E17" s="92">
        <f t="shared" si="3"/>
        <v>1.1910165404885348E-3</v>
      </c>
      <c r="F17" s="8" t="e">
        <f>#REF!</f>
        <v>#REF!</v>
      </c>
      <c r="H17" s="191" t="e">
        <f>IF(F17&lt;Floors!$E$4,Floors!$E$4, "-")</f>
        <v>#REF!</v>
      </c>
      <c r="I17" s="65" t="e">
        <f t="shared" si="4"/>
        <v>#REF!</v>
      </c>
      <c r="J17" s="188" t="e">
        <f>IF(I17="Y",VLOOKUP(B17,#REF!,2,FALSE)*1.1,"N/A ")</f>
        <v>#REF!</v>
      </c>
      <c r="K17" s="188" t="e">
        <f t="shared" si="0"/>
        <v>#REF!</v>
      </c>
      <c r="M17" s="188" t="e">
        <f t="shared" si="5"/>
        <v>#REF!</v>
      </c>
      <c r="N17" s="178" t="e">
        <f t="shared" si="1"/>
        <v>#REF!</v>
      </c>
      <c r="O17" s="176" t="e">
        <f t="shared" si="2"/>
        <v>#REF!</v>
      </c>
      <c r="P17" s="178" t="e">
        <f t="shared" si="7"/>
        <v>#REF!</v>
      </c>
      <c r="Q17" s="178" t="e">
        <f t="shared" si="6"/>
        <v>#REF!</v>
      </c>
      <c r="R17" s="179" t="e">
        <f t="shared" si="8"/>
        <v>#REF!</v>
      </c>
      <c r="S17" s="178" t="e">
        <f t="shared" si="9"/>
        <v>#REF!</v>
      </c>
      <c r="T17" s="178" t="e">
        <f t="shared" si="10"/>
        <v>#REF!</v>
      </c>
    </row>
    <row r="18" spans="1:20" ht="16.5" customHeight="1" x14ac:dyDescent="0.3">
      <c r="A18" s="65">
        <v>2</v>
      </c>
      <c r="B18" s="66" t="s">
        <v>21</v>
      </c>
      <c r="C18" s="83"/>
      <c r="D18" s="185">
        <f>VLOOKUP(B18,'WF Need'!$B$7:$AB$64,27, FALSE)</f>
        <v>9318360.7545870263</v>
      </c>
      <c r="E18" s="92">
        <f t="shared" si="3"/>
        <v>3.4282762847153169E-3</v>
      </c>
      <c r="F18" s="8" t="e">
        <f>#REF!</f>
        <v>#REF!</v>
      </c>
      <c r="G18" s="83"/>
      <c r="H18" s="191" t="e">
        <f>IF(F18&lt;Floors!$E$4,Floors!$E$4, "-")</f>
        <v>#REF!</v>
      </c>
      <c r="I18" s="65" t="e">
        <f t="shared" si="4"/>
        <v>#REF!</v>
      </c>
      <c r="J18" s="188" t="e">
        <f>IF(I18="Y",VLOOKUP(B18,#REF!,2,FALSE)*1.1,"N/A ")</f>
        <v>#REF!</v>
      </c>
      <c r="K18" s="188" t="e">
        <f t="shared" si="0"/>
        <v>#REF!</v>
      </c>
      <c r="L18" s="83"/>
      <c r="M18" s="188" t="e">
        <f t="shared" si="5"/>
        <v>#REF!</v>
      </c>
      <c r="N18" s="178" t="e">
        <f t="shared" si="1"/>
        <v>#REF!</v>
      </c>
      <c r="O18" s="176" t="e">
        <f t="shared" si="2"/>
        <v>#REF!</v>
      </c>
      <c r="P18" s="178" t="e">
        <f t="shared" si="7"/>
        <v>#REF!</v>
      </c>
      <c r="Q18" s="178" t="e">
        <f t="shared" si="6"/>
        <v>#REF!</v>
      </c>
      <c r="R18" s="179" t="e">
        <f t="shared" si="8"/>
        <v>#REF!</v>
      </c>
      <c r="S18" s="178" t="e">
        <f t="shared" si="9"/>
        <v>#REF!</v>
      </c>
      <c r="T18" s="178" t="e">
        <f t="shared" si="10"/>
        <v>#REF!</v>
      </c>
    </row>
    <row r="19" spans="1:20" ht="16.5" customHeight="1" x14ac:dyDescent="0.3">
      <c r="A19" s="65">
        <v>2</v>
      </c>
      <c r="B19" s="66" t="s">
        <v>22</v>
      </c>
      <c r="D19" s="185">
        <f>VLOOKUP(B19,'WF Need'!$B$7:$AB$64,27, FALSE)</f>
        <v>8073327.019154828</v>
      </c>
      <c r="E19" s="92">
        <f t="shared" si="3"/>
        <v>2.9702215107840092E-3</v>
      </c>
      <c r="F19" s="8" t="e">
        <f>#REF!</f>
        <v>#REF!</v>
      </c>
      <c r="H19" s="191" t="e">
        <f>IF(F19&lt;Floors!$E$4,Floors!$E$4, "-")</f>
        <v>#REF!</v>
      </c>
      <c r="I19" s="65" t="e">
        <f t="shared" si="4"/>
        <v>#REF!</v>
      </c>
      <c r="J19" s="188" t="e">
        <f>IF(I19="Y",VLOOKUP(B19,#REF!,2,FALSE)*1.1,"N/A ")</f>
        <v>#REF!</v>
      </c>
      <c r="K19" s="188" t="e">
        <f t="shared" si="0"/>
        <v>#REF!</v>
      </c>
      <c r="M19" s="188" t="e">
        <f t="shared" si="5"/>
        <v>#REF!</v>
      </c>
      <c r="N19" s="178" t="e">
        <f t="shared" si="1"/>
        <v>#REF!</v>
      </c>
      <c r="O19" s="176" t="e">
        <f t="shared" si="2"/>
        <v>#REF!</v>
      </c>
      <c r="P19" s="178" t="e">
        <f t="shared" si="7"/>
        <v>#REF!</v>
      </c>
      <c r="Q19" s="178" t="e">
        <f t="shared" si="6"/>
        <v>#REF!</v>
      </c>
      <c r="R19" s="179" t="e">
        <f t="shared" si="8"/>
        <v>#REF!</v>
      </c>
      <c r="S19" s="178" t="e">
        <f t="shared" si="9"/>
        <v>#REF!</v>
      </c>
      <c r="T19" s="178" t="e">
        <f t="shared" si="10"/>
        <v>#REF!</v>
      </c>
    </row>
    <row r="20" spans="1:20" ht="16.5" customHeight="1" x14ac:dyDescent="0.3">
      <c r="A20" s="65">
        <v>1</v>
      </c>
      <c r="B20" s="66" t="s">
        <v>10</v>
      </c>
      <c r="D20" s="185">
        <f>VLOOKUP(B20,'WF Need'!$B$7:$AB$64,27, FALSE)</f>
        <v>2676571.2725992044</v>
      </c>
      <c r="E20" s="92">
        <f t="shared" si="3"/>
        <v>9.8472532453577595E-4</v>
      </c>
      <c r="F20" s="8" t="e">
        <f>#REF!</f>
        <v>#REF!</v>
      </c>
      <c r="H20" s="191" t="e">
        <f>IF(F20&lt;Floors!$E$4,Floors!$E$4, "-")</f>
        <v>#REF!</v>
      </c>
      <c r="I20" s="65" t="e">
        <f t="shared" si="4"/>
        <v>#REF!</v>
      </c>
      <c r="J20" s="188" t="e">
        <f>IF(I20="Y",VLOOKUP(B20,#REF!,2,FALSE)*1.1,"N/A ")</f>
        <v>#REF!</v>
      </c>
      <c r="K20" s="188" t="e">
        <f t="shared" si="0"/>
        <v>#REF!</v>
      </c>
      <c r="M20" s="188" t="e">
        <f t="shared" si="5"/>
        <v>#REF!</v>
      </c>
      <c r="N20" s="178" t="e">
        <f t="shared" si="1"/>
        <v>#REF!</v>
      </c>
      <c r="O20" s="176" t="e">
        <f t="shared" si="2"/>
        <v>#REF!</v>
      </c>
      <c r="P20" s="178" t="e">
        <f t="shared" si="7"/>
        <v>#REF!</v>
      </c>
      <c r="Q20" s="178" t="e">
        <f t="shared" si="6"/>
        <v>#REF!</v>
      </c>
      <c r="R20" s="179" t="e">
        <f t="shared" si="8"/>
        <v>#REF!</v>
      </c>
      <c r="S20" s="178" t="e">
        <f t="shared" si="9"/>
        <v>#REF!</v>
      </c>
      <c r="T20" s="178" t="e">
        <f t="shared" si="10"/>
        <v>#REF!</v>
      </c>
    </row>
    <row r="21" spans="1:20" ht="16.5" customHeight="1" x14ac:dyDescent="0.3">
      <c r="A21" s="65">
        <v>3</v>
      </c>
      <c r="B21" s="66" t="s">
        <v>43</v>
      </c>
      <c r="D21" s="185">
        <f>VLOOKUP(B21,'WF Need'!$B$7:$AB$64,27, FALSE)</f>
        <v>68776329.731531709</v>
      </c>
      <c r="E21" s="92">
        <f t="shared" si="3"/>
        <v>2.5303190805561454E-2</v>
      </c>
      <c r="F21" s="8" t="e">
        <f>#REF!</f>
        <v>#REF!</v>
      </c>
      <c r="H21" s="191" t="e">
        <f>IF(F21&lt;Floors!$E$4,Floors!$E$4, "-")</f>
        <v>#REF!</v>
      </c>
      <c r="I21" s="65" t="e">
        <f t="shared" si="4"/>
        <v>#REF!</v>
      </c>
      <c r="J21" s="188" t="e">
        <f>IF(I21="Y",VLOOKUP(B21,#REF!,2,FALSE)*1.1,"N/A ")</f>
        <v>#REF!</v>
      </c>
      <c r="K21" s="188" t="e">
        <f t="shared" si="0"/>
        <v>#REF!</v>
      </c>
      <c r="M21" s="188" t="e">
        <f t="shared" si="5"/>
        <v>#REF!</v>
      </c>
      <c r="N21" s="178" t="e">
        <f t="shared" si="1"/>
        <v>#REF!</v>
      </c>
      <c r="O21" s="176" t="e">
        <f t="shared" si="2"/>
        <v>#REF!</v>
      </c>
      <c r="P21" s="178" t="e">
        <f t="shared" si="7"/>
        <v>#REF!</v>
      </c>
      <c r="Q21" s="178" t="e">
        <f t="shared" si="6"/>
        <v>#REF!</v>
      </c>
      <c r="R21" s="179" t="e">
        <f t="shared" si="8"/>
        <v>#REF!</v>
      </c>
      <c r="S21" s="178" t="e">
        <f t="shared" si="9"/>
        <v>#REF!</v>
      </c>
      <c r="T21" s="178" t="e">
        <f t="shared" si="10"/>
        <v>#REF!</v>
      </c>
    </row>
    <row r="22" spans="1:20" ht="16.5" customHeight="1" x14ac:dyDescent="0.3">
      <c r="A22" s="65">
        <v>2</v>
      </c>
      <c r="B22" s="66" t="s">
        <v>23</v>
      </c>
      <c r="D22" s="185">
        <f>VLOOKUP(B22,'WF Need'!$B$7:$AB$64,27, FALSE)</f>
        <v>12025487.924070079</v>
      </c>
      <c r="E22" s="92">
        <f t="shared" si="3"/>
        <v>4.4242432921397425E-3</v>
      </c>
      <c r="F22" s="8" t="e">
        <f>#REF!</f>
        <v>#REF!</v>
      </c>
      <c r="H22" s="191" t="e">
        <f>IF(F22&lt;Floors!$E$4,Floors!$E$4, "-")</f>
        <v>#REF!</v>
      </c>
      <c r="I22" s="65" t="e">
        <f t="shared" si="4"/>
        <v>#REF!</v>
      </c>
      <c r="J22" s="188" t="e">
        <f>IF(I22="Y",VLOOKUP(B22,#REF!,2,FALSE)*1.1,"N/A ")</f>
        <v>#REF!</v>
      </c>
      <c r="K22" s="188" t="e">
        <f t="shared" si="0"/>
        <v>#REF!</v>
      </c>
      <c r="M22" s="188" t="e">
        <f t="shared" si="5"/>
        <v>#REF!</v>
      </c>
      <c r="N22" s="178" t="e">
        <f t="shared" si="1"/>
        <v>#REF!</v>
      </c>
      <c r="O22" s="176" t="e">
        <f t="shared" si="2"/>
        <v>#REF!</v>
      </c>
      <c r="P22" s="178" t="e">
        <f t="shared" si="7"/>
        <v>#REF!</v>
      </c>
      <c r="Q22" s="178" t="e">
        <f t="shared" si="6"/>
        <v>#REF!</v>
      </c>
      <c r="R22" s="179" t="e">
        <f t="shared" si="8"/>
        <v>#REF!</v>
      </c>
      <c r="S22" s="178" t="e">
        <f t="shared" si="9"/>
        <v>#REF!</v>
      </c>
      <c r="T22" s="178" t="e">
        <f t="shared" si="10"/>
        <v>#REF!</v>
      </c>
    </row>
    <row r="23" spans="1:20" ht="16.5" customHeight="1" x14ac:dyDescent="0.3">
      <c r="A23" s="65">
        <v>2</v>
      </c>
      <c r="B23" s="66" t="s">
        <v>24</v>
      </c>
      <c r="D23" s="185">
        <f>VLOOKUP(B23,'WF Need'!$B$7:$AB$64,27, FALSE)</f>
        <v>6056221.8431477882</v>
      </c>
      <c r="E23" s="92">
        <f t="shared" si="3"/>
        <v>2.2281173981827237E-3</v>
      </c>
      <c r="F23" s="8" t="e">
        <f>#REF!</f>
        <v>#REF!</v>
      </c>
      <c r="H23" s="191" t="e">
        <f>IF(F23&lt;Floors!$E$4,Floors!$E$4, "-")</f>
        <v>#REF!</v>
      </c>
      <c r="I23" s="65" t="e">
        <f t="shared" si="4"/>
        <v>#REF!</v>
      </c>
      <c r="J23" s="188" t="e">
        <f>IF(I23="Y",VLOOKUP(B23,#REF!,2,FALSE)*1.1,"N/A ")</f>
        <v>#REF!</v>
      </c>
      <c r="K23" s="188" t="e">
        <f t="shared" si="0"/>
        <v>#REF!</v>
      </c>
      <c r="M23" s="188" t="e">
        <f t="shared" si="5"/>
        <v>#REF!</v>
      </c>
      <c r="N23" s="178" t="e">
        <f t="shared" si="1"/>
        <v>#REF!</v>
      </c>
      <c r="O23" s="176" t="e">
        <f t="shared" si="2"/>
        <v>#REF!</v>
      </c>
      <c r="P23" s="178" t="e">
        <f t="shared" si="7"/>
        <v>#REF!</v>
      </c>
      <c r="Q23" s="178" t="e">
        <f t="shared" si="6"/>
        <v>#REF!</v>
      </c>
      <c r="R23" s="179" t="e">
        <f t="shared" si="8"/>
        <v>#REF!</v>
      </c>
      <c r="S23" s="178" t="e">
        <f t="shared" si="9"/>
        <v>#REF!</v>
      </c>
      <c r="T23" s="178" t="e">
        <f t="shared" si="10"/>
        <v>#REF!</v>
      </c>
    </row>
    <row r="24" spans="1:20" ht="16.5" customHeight="1" x14ac:dyDescent="0.3">
      <c r="A24" s="65">
        <v>1</v>
      </c>
      <c r="B24" s="66" t="s">
        <v>11</v>
      </c>
      <c r="D24" s="185">
        <f>VLOOKUP(B24,'WF Need'!$B$7:$AB$64,27, FALSE)</f>
        <v>2580519.1014301707</v>
      </c>
      <c r="E24" s="92">
        <f t="shared" si="3"/>
        <v>9.4938720132004657E-4</v>
      </c>
      <c r="F24" s="8" t="e">
        <f>#REF!</f>
        <v>#REF!</v>
      </c>
      <c r="H24" s="191" t="e">
        <f>IF(F24&lt;Floors!$E$4,Floors!$E$4, "-")</f>
        <v>#REF!</v>
      </c>
      <c r="I24" s="65" t="e">
        <f t="shared" si="4"/>
        <v>#REF!</v>
      </c>
      <c r="J24" s="188" t="e">
        <f>IF(I24="Y",VLOOKUP(B24,#REF!,2,FALSE)*1.1,"N/A ")</f>
        <v>#REF!</v>
      </c>
      <c r="K24" s="188" t="e">
        <f t="shared" si="0"/>
        <v>#REF!</v>
      </c>
      <c r="M24" s="189" t="e">
        <f t="shared" si="5"/>
        <v>#REF!</v>
      </c>
      <c r="N24" s="178" t="e">
        <f t="shared" si="1"/>
        <v>#REF!</v>
      </c>
      <c r="O24" s="180" t="e">
        <f t="shared" si="2"/>
        <v>#REF!</v>
      </c>
      <c r="P24" s="178" t="e">
        <f t="shared" si="7"/>
        <v>#REF!</v>
      </c>
      <c r="Q24" s="178" t="e">
        <f t="shared" si="6"/>
        <v>#REF!</v>
      </c>
      <c r="R24" s="179" t="e">
        <f t="shared" si="8"/>
        <v>#REF!</v>
      </c>
      <c r="S24" s="178" t="e">
        <f t="shared" si="9"/>
        <v>#REF!</v>
      </c>
      <c r="T24" s="178" t="e">
        <f t="shared" si="10"/>
        <v>#REF!</v>
      </c>
    </row>
    <row r="25" spans="1:20" ht="16.5" customHeight="1" x14ac:dyDescent="0.3">
      <c r="A25" s="65">
        <v>4</v>
      </c>
      <c r="B25" s="66" t="s">
        <v>54</v>
      </c>
      <c r="D25" s="185">
        <f>VLOOKUP(B25,'WF Need'!$B$7:$AB$64,27, FALSE)</f>
        <v>791102381.12182653</v>
      </c>
      <c r="E25" s="92">
        <f t="shared" si="3"/>
        <v>0.29105092659636705</v>
      </c>
      <c r="F25" s="8" t="e">
        <f>#REF!</f>
        <v>#REF!</v>
      </c>
      <c r="H25" s="191" t="e">
        <f>IF(F25&lt;Floors!$E$4,Floors!$E$4, "-")</f>
        <v>#REF!</v>
      </c>
      <c r="I25" s="65" t="e">
        <f t="shared" si="4"/>
        <v>#REF!</v>
      </c>
      <c r="J25" s="188" t="e">
        <f>IF(I25="Y",VLOOKUP(B25,#REF!,2,FALSE)*1.1,"N/A ")</f>
        <v>#REF!</v>
      </c>
      <c r="K25" s="188" t="e">
        <f t="shared" si="0"/>
        <v>#REF!</v>
      </c>
      <c r="M25" s="188" t="e">
        <f t="shared" si="5"/>
        <v>#REF!</v>
      </c>
      <c r="N25" s="178" t="e">
        <f t="shared" si="1"/>
        <v>#REF!</v>
      </c>
      <c r="O25" s="176" t="e">
        <f t="shared" si="2"/>
        <v>#REF!</v>
      </c>
      <c r="P25" s="178" t="e">
        <f t="shared" si="7"/>
        <v>#REF!</v>
      </c>
      <c r="Q25" s="178" t="e">
        <f t="shared" si="6"/>
        <v>#REF!</v>
      </c>
      <c r="R25" s="179" t="e">
        <f t="shared" si="8"/>
        <v>#REF!</v>
      </c>
      <c r="S25" s="178" t="e">
        <f t="shared" si="9"/>
        <v>#REF!</v>
      </c>
      <c r="T25" s="178" t="e">
        <f t="shared" si="10"/>
        <v>#REF!</v>
      </c>
    </row>
    <row r="26" spans="1:20" ht="16.5" customHeight="1" x14ac:dyDescent="0.3">
      <c r="A26" s="65">
        <v>2</v>
      </c>
      <c r="B26" s="66" t="s">
        <v>25</v>
      </c>
      <c r="D26" s="185">
        <f>VLOOKUP(B26,'WF Need'!$B$7:$AB$64,27, FALSE)</f>
        <v>13875025.105213087</v>
      </c>
      <c r="E26" s="92">
        <f t="shared" si="3"/>
        <v>5.104698215790399E-3</v>
      </c>
      <c r="F26" s="8" t="e">
        <f>#REF!</f>
        <v>#REF!</v>
      </c>
      <c r="H26" s="191" t="e">
        <f>IF(F26&lt;Floors!$E$4,Floors!$E$4, "-")</f>
        <v>#REF!</v>
      </c>
      <c r="I26" s="65" t="e">
        <f t="shared" si="4"/>
        <v>#REF!</v>
      </c>
      <c r="J26" s="188" t="e">
        <f>IF(I26="Y",VLOOKUP(B26,#REF!,2,FALSE)*1.1,"N/A ")</f>
        <v>#REF!</v>
      </c>
      <c r="K26" s="188" t="e">
        <f t="shared" si="0"/>
        <v>#REF!</v>
      </c>
      <c r="M26" s="188" t="e">
        <f t="shared" si="5"/>
        <v>#REF!</v>
      </c>
      <c r="N26" s="178" t="e">
        <f t="shared" si="1"/>
        <v>#REF!</v>
      </c>
      <c r="O26" s="176" t="e">
        <f t="shared" si="2"/>
        <v>#REF!</v>
      </c>
      <c r="P26" s="178" t="e">
        <f t="shared" si="7"/>
        <v>#REF!</v>
      </c>
      <c r="Q26" s="178" t="e">
        <f t="shared" si="6"/>
        <v>#REF!</v>
      </c>
      <c r="R26" s="179" t="e">
        <f t="shared" si="8"/>
        <v>#REF!</v>
      </c>
      <c r="S26" s="178" t="e">
        <f t="shared" si="9"/>
        <v>#REF!</v>
      </c>
      <c r="T26" s="178" t="e">
        <f t="shared" si="10"/>
        <v>#REF!</v>
      </c>
    </row>
    <row r="27" spans="1:20" ht="16.5" customHeight="1" x14ac:dyDescent="0.3">
      <c r="A27" s="65">
        <v>2</v>
      </c>
      <c r="B27" s="66" t="s">
        <v>26</v>
      </c>
      <c r="D27" s="185">
        <f>VLOOKUP(B27,'WF Need'!$B$7:$AB$64,27, FALSE)</f>
        <v>15677865.521231517</v>
      </c>
      <c r="E27" s="92">
        <f t="shared" si="3"/>
        <v>5.7679731421576598E-3</v>
      </c>
      <c r="F27" s="8" t="e">
        <f>#REF!</f>
        <v>#REF!</v>
      </c>
      <c r="H27" s="191" t="e">
        <f>IF(F27&lt;Floors!$E$4,Floors!$E$4, "-")</f>
        <v>#REF!</v>
      </c>
      <c r="I27" s="65" t="e">
        <f t="shared" si="4"/>
        <v>#REF!</v>
      </c>
      <c r="J27" s="188" t="e">
        <f>IF(I27="Y",VLOOKUP(B27,#REF!,2,FALSE)*1.1,"N/A ")</f>
        <v>#REF!</v>
      </c>
      <c r="K27" s="188" t="e">
        <f t="shared" si="0"/>
        <v>#REF!</v>
      </c>
      <c r="M27" s="188" t="e">
        <f t="shared" si="5"/>
        <v>#REF!</v>
      </c>
      <c r="N27" s="178" t="e">
        <f t="shared" si="1"/>
        <v>#REF!</v>
      </c>
      <c r="O27" s="176" t="e">
        <f t="shared" si="2"/>
        <v>#REF!</v>
      </c>
      <c r="P27" s="178" t="e">
        <f t="shared" si="7"/>
        <v>#REF!</v>
      </c>
      <c r="Q27" s="178" t="e">
        <f t="shared" si="6"/>
        <v>#REF!</v>
      </c>
      <c r="R27" s="179" t="e">
        <f t="shared" si="8"/>
        <v>#REF!</v>
      </c>
      <c r="S27" s="178" t="e">
        <f t="shared" si="9"/>
        <v>#REF!</v>
      </c>
      <c r="T27" s="178" t="e">
        <f t="shared" si="10"/>
        <v>#REF!</v>
      </c>
    </row>
    <row r="28" spans="1:20" ht="16.5" customHeight="1" x14ac:dyDescent="0.3">
      <c r="A28" s="65">
        <v>1</v>
      </c>
      <c r="B28" s="66" t="s">
        <v>12</v>
      </c>
      <c r="D28" s="185">
        <f>VLOOKUP(B28,'WF Need'!$B$7:$AB$64,27, FALSE)</f>
        <v>1846094.0368866127</v>
      </c>
      <c r="E28" s="92">
        <f t="shared" si="3"/>
        <v>6.7918817190000763E-4</v>
      </c>
      <c r="F28" s="8" t="e">
        <f>#REF!</f>
        <v>#REF!</v>
      </c>
      <c r="H28" s="191" t="e">
        <f>IF(F28&lt;Floors!$E$4,Floors!$E$4, "-")</f>
        <v>#REF!</v>
      </c>
      <c r="I28" s="65" t="e">
        <f t="shared" si="4"/>
        <v>#REF!</v>
      </c>
      <c r="J28" s="188" t="e">
        <f>IF(I28="Y",VLOOKUP(B28,#REF!,2,FALSE)*1.1,"N/A ")</f>
        <v>#REF!</v>
      </c>
      <c r="K28" s="188" t="e">
        <f t="shared" si="0"/>
        <v>#REF!</v>
      </c>
      <c r="M28" s="189" t="e">
        <f t="shared" si="5"/>
        <v>#REF!</v>
      </c>
      <c r="N28" s="178" t="e">
        <f t="shared" si="1"/>
        <v>#REF!</v>
      </c>
      <c r="O28" s="178" t="e">
        <f t="shared" si="2"/>
        <v>#REF!</v>
      </c>
      <c r="P28" s="178" t="e">
        <f>IF(M28="n/a",(IF(AND(H28=750000,(F28&gt;750000)), H28-F28, 0)),M28-F28)</f>
        <v>#REF!</v>
      </c>
      <c r="Q28" s="178" t="e">
        <f t="shared" si="6"/>
        <v>#REF!</v>
      </c>
      <c r="R28" s="179" t="e">
        <f t="shared" si="8"/>
        <v>#REF!</v>
      </c>
      <c r="S28" s="178" t="e">
        <f t="shared" si="9"/>
        <v>#REF!</v>
      </c>
      <c r="T28" s="178" t="e">
        <f t="shared" si="10"/>
        <v>#REF!</v>
      </c>
    </row>
    <row r="29" spans="1:20" ht="16.5" customHeight="1" x14ac:dyDescent="0.3">
      <c r="A29" s="65">
        <v>2</v>
      </c>
      <c r="B29" s="66" t="s">
        <v>27</v>
      </c>
      <c r="D29" s="185">
        <f>VLOOKUP(B29,'WF Need'!$B$7:$AB$64,27, FALSE)</f>
        <v>7775001.8517393731</v>
      </c>
      <c r="E29" s="92">
        <f t="shared" si="3"/>
        <v>2.8604660373139916E-3</v>
      </c>
      <c r="F29" s="8" t="e">
        <f>#REF!</f>
        <v>#REF!</v>
      </c>
      <c r="H29" s="191" t="e">
        <f>IF(F29&lt;Floors!$E$4,Floors!$E$4, "-")</f>
        <v>#REF!</v>
      </c>
      <c r="I29" s="65" t="e">
        <f t="shared" si="4"/>
        <v>#REF!</v>
      </c>
      <c r="J29" s="188" t="e">
        <f>IF(I29="Y",VLOOKUP(B29,#REF!,2,FALSE)*1.1,"N/A ")</f>
        <v>#REF!</v>
      </c>
      <c r="K29" s="188" t="e">
        <f t="shared" si="0"/>
        <v>#REF!</v>
      </c>
      <c r="M29" s="188" t="e">
        <f t="shared" si="5"/>
        <v>#REF!</v>
      </c>
      <c r="N29" s="178" t="e">
        <f t="shared" si="1"/>
        <v>#REF!</v>
      </c>
      <c r="O29" s="176" t="e">
        <f t="shared" si="2"/>
        <v>#REF!</v>
      </c>
      <c r="P29" s="178" t="e">
        <f>IF(M29="n/a",(IF(AND(H29=750000,(F29&gt;750000)), H29-F29, 0)),M29-F29)</f>
        <v>#REF!</v>
      </c>
      <c r="Q29" s="178" t="e">
        <f t="shared" si="6"/>
        <v>#REF!</v>
      </c>
      <c r="R29" s="179" t="e">
        <f t="shared" si="8"/>
        <v>#REF!</v>
      </c>
      <c r="S29" s="178" t="e">
        <f t="shared" si="9"/>
        <v>#REF!</v>
      </c>
      <c r="T29" s="178" t="e">
        <f t="shared" si="10"/>
        <v>#REF!</v>
      </c>
    </row>
    <row r="30" spans="1:20" ht="16.5" customHeight="1" x14ac:dyDescent="0.3">
      <c r="A30" s="65">
        <v>2</v>
      </c>
      <c r="B30" s="66" t="s">
        <v>28</v>
      </c>
      <c r="D30" s="185">
        <f>VLOOKUP(B30,'WF Need'!$B$7:$AB$64,27, FALSE)</f>
        <v>18264042.607248489</v>
      </c>
      <c r="E30" s="92">
        <f t="shared" si="3"/>
        <v>6.7194419471941829E-3</v>
      </c>
      <c r="F30" s="8" t="e">
        <f>#REF!</f>
        <v>#REF!</v>
      </c>
      <c r="H30" s="191" t="e">
        <f>IF(F30&lt;Floors!$E$4,Floors!$E$4, "-")</f>
        <v>#REF!</v>
      </c>
      <c r="I30" s="65" t="e">
        <f t="shared" si="4"/>
        <v>#REF!</v>
      </c>
      <c r="J30" s="188" t="e">
        <f>IF(I30="Y",VLOOKUP(B30,#REF!,2,FALSE)*1.1,"N/A ")</f>
        <v>#REF!</v>
      </c>
      <c r="K30" s="188" t="e">
        <f t="shared" si="0"/>
        <v>#REF!</v>
      </c>
      <c r="M30" s="188" t="e">
        <f t="shared" si="5"/>
        <v>#REF!</v>
      </c>
      <c r="N30" s="178" t="e">
        <f t="shared" si="1"/>
        <v>#REF!</v>
      </c>
      <c r="O30" s="176" t="e">
        <f t="shared" si="2"/>
        <v>#REF!</v>
      </c>
      <c r="P30" s="178" t="e">
        <f t="shared" ref="P30:P41" si="11">IF(M30="n/a",(IF(AND(H30=750000,(F30&gt;750000)), H30-F30, 0)),M30-F30)</f>
        <v>#REF!</v>
      </c>
      <c r="Q30" s="178" t="e">
        <f t="shared" si="6"/>
        <v>#REF!</v>
      </c>
      <c r="R30" s="179" t="e">
        <f t="shared" si="8"/>
        <v>#REF!</v>
      </c>
      <c r="S30" s="178" t="e">
        <f t="shared" si="9"/>
        <v>#REF!</v>
      </c>
      <c r="T30" s="178" t="e">
        <f t="shared" si="10"/>
        <v>#REF!</v>
      </c>
    </row>
    <row r="31" spans="1:20" ht="16.5" customHeight="1" x14ac:dyDescent="0.3">
      <c r="A31" s="65">
        <v>1</v>
      </c>
      <c r="B31" s="66" t="s">
        <v>13</v>
      </c>
      <c r="D31" s="185">
        <f>VLOOKUP(B31,'WF Need'!$B$7:$AB$64,27, FALSE)</f>
        <v>1480959.0829540906</v>
      </c>
      <c r="E31" s="92">
        <f t="shared" si="3"/>
        <v>5.448530097126791E-4</v>
      </c>
      <c r="F31" s="8" t="e">
        <f>#REF!</f>
        <v>#REF!</v>
      </c>
      <c r="H31" s="191" t="e">
        <f>IF(F31&lt;Floors!$E$4,Floors!$E$4, "-")</f>
        <v>#REF!</v>
      </c>
      <c r="I31" s="65" t="e">
        <f t="shared" si="4"/>
        <v>#REF!</v>
      </c>
      <c r="J31" s="188" t="e">
        <f>IF(I31="Y",VLOOKUP(B31,#REF!,2,FALSE)*1.1,"N/A ")</f>
        <v>#REF!</v>
      </c>
      <c r="K31" s="188" t="e">
        <f t="shared" si="0"/>
        <v>#REF!</v>
      </c>
      <c r="M31" s="188" t="e">
        <f t="shared" si="5"/>
        <v>#REF!</v>
      </c>
      <c r="N31" s="178" t="e">
        <f t="shared" si="1"/>
        <v>#REF!</v>
      </c>
      <c r="O31" s="178" t="e">
        <f t="shared" si="2"/>
        <v>#REF!</v>
      </c>
      <c r="P31" s="178" t="e">
        <f t="shared" si="11"/>
        <v>#REF!</v>
      </c>
      <c r="Q31" s="178" t="e">
        <f t="shared" si="6"/>
        <v>#REF!</v>
      </c>
      <c r="R31" s="179" t="e">
        <f t="shared" si="8"/>
        <v>#REF!</v>
      </c>
      <c r="S31" s="178" t="e">
        <f t="shared" si="9"/>
        <v>#REF!</v>
      </c>
      <c r="T31" s="178" t="e">
        <f t="shared" si="10"/>
        <v>#REF!</v>
      </c>
    </row>
    <row r="32" spans="1:20" ht="16.5" customHeight="1" x14ac:dyDescent="0.3">
      <c r="A32" s="65">
        <v>1</v>
      </c>
      <c r="B32" s="66" t="s">
        <v>14</v>
      </c>
      <c r="D32" s="185">
        <f>VLOOKUP(B32,'WF Need'!$B$7:$AB$64,27, FALSE)</f>
        <v>2038771.0707723747</v>
      </c>
      <c r="E32" s="92">
        <f t="shared" si="3"/>
        <v>7.5007511470855765E-4</v>
      </c>
      <c r="F32" s="8" t="e">
        <f>#REF!</f>
        <v>#REF!</v>
      </c>
      <c r="H32" s="191" t="e">
        <f>IF(F32&lt;Floors!$E$4,Floors!$E$4, "-")</f>
        <v>#REF!</v>
      </c>
      <c r="I32" s="65" t="e">
        <f t="shared" si="4"/>
        <v>#REF!</v>
      </c>
      <c r="J32" s="188" t="e">
        <f>IF(I32="Y",VLOOKUP(B32,#REF!,2,FALSE)*1.1,"N/A ")</f>
        <v>#REF!</v>
      </c>
      <c r="K32" s="188" t="e">
        <f t="shared" si="0"/>
        <v>#REF!</v>
      </c>
      <c r="M32" s="189" t="e">
        <f t="shared" si="5"/>
        <v>#REF!</v>
      </c>
      <c r="N32" s="178" t="e">
        <f t="shared" si="1"/>
        <v>#REF!</v>
      </c>
      <c r="O32" s="178" t="e">
        <f t="shared" si="2"/>
        <v>#REF!</v>
      </c>
      <c r="P32" s="178" t="e">
        <f t="shared" si="11"/>
        <v>#REF!</v>
      </c>
      <c r="Q32" s="178" t="e">
        <f t="shared" si="6"/>
        <v>#REF!</v>
      </c>
      <c r="R32" s="179" t="e">
        <f t="shared" si="8"/>
        <v>#REF!</v>
      </c>
      <c r="S32" s="178" t="e">
        <f t="shared" si="9"/>
        <v>#REF!</v>
      </c>
      <c r="T32" s="178" t="e">
        <f t="shared" si="10"/>
        <v>#REF!</v>
      </c>
    </row>
    <row r="33" spans="1:20" ht="16.5" customHeight="1" x14ac:dyDescent="0.3">
      <c r="A33" s="65">
        <v>3</v>
      </c>
      <c r="B33" s="66" t="s">
        <v>44</v>
      </c>
      <c r="D33" s="185">
        <f>VLOOKUP(B33,'WF Need'!$B$7:$AB$64,27, FALSE)</f>
        <v>28560983.576918349</v>
      </c>
      <c r="E33" s="92">
        <f t="shared" si="3"/>
        <v>1.0507743287003943E-2</v>
      </c>
      <c r="F33" s="8" t="e">
        <f>#REF!</f>
        <v>#REF!</v>
      </c>
      <c r="H33" s="191" t="e">
        <f>IF(F33&lt;Floors!$E$4,Floors!$E$4, "-")</f>
        <v>#REF!</v>
      </c>
      <c r="I33" s="65" t="e">
        <f t="shared" si="4"/>
        <v>#REF!</v>
      </c>
      <c r="J33" s="188" t="e">
        <f>IF(I33="Y",VLOOKUP(B33,#REF!,2,FALSE)*1.1,"N/A ")</f>
        <v>#REF!</v>
      </c>
      <c r="K33" s="188" t="e">
        <f t="shared" si="0"/>
        <v>#REF!</v>
      </c>
      <c r="M33" s="188" t="e">
        <f t="shared" si="5"/>
        <v>#REF!</v>
      </c>
      <c r="N33" s="178" t="e">
        <f t="shared" si="1"/>
        <v>#REF!</v>
      </c>
      <c r="O33" s="176" t="e">
        <f t="shared" si="2"/>
        <v>#REF!</v>
      </c>
      <c r="P33" s="178" t="e">
        <f t="shared" si="11"/>
        <v>#REF!</v>
      </c>
      <c r="Q33" s="178" t="e">
        <f t="shared" si="6"/>
        <v>#REF!</v>
      </c>
      <c r="R33" s="179" t="e">
        <f t="shared" si="8"/>
        <v>#REF!</v>
      </c>
      <c r="S33" s="178" t="e">
        <f t="shared" si="9"/>
        <v>#REF!</v>
      </c>
      <c r="T33" s="178" t="e">
        <f t="shared" si="10"/>
        <v>#REF!</v>
      </c>
    </row>
    <row r="34" spans="1:20" ht="16.5" customHeight="1" x14ac:dyDescent="0.3">
      <c r="A34" s="65">
        <v>2</v>
      </c>
      <c r="B34" s="66" t="s">
        <v>29</v>
      </c>
      <c r="D34" s="185">
        <f>VLOOKUP(B34,'WF Need'!$B$7:$AB$64,27, FALSE)</f>
        <v>10740134.064090399</v>
      </c>
      <c r="E34" s="92">
        <f t="shared" si="3"/>
        <v>3.9513545221415989E-3</v>
      </c>
      <c r="F34" s="8" t="e">
        <f>#REF!</f>
        <v>#REF!</v>
      </c>
      <c r="H34" s="191" t="e">
        <f>IF(F34&lt;Floors!$E$4,Floors!$E$4, "-")</f>
        <v>#REF!</v>
      </c>
      <c r="I34" s="65" t="e">
        <f t="shared" si="4"/>
        <v>#REF!</v>
      </c>
      <c r="J34" s="188" t="e">
        <f>IF(I34="Y",VLOOKUP(B34,#REF!,2,FALSE)*1.1,"N/A ")</f>
        <v>#REF!</v>
      </c>
      <c r="K34" s="188" t="e">
        <f t="shared" si="0"/>
        <v>#REF!</v>
      </c>
      <c r="M34" s="188" t="e">
        <f t="shared" si="5"/>
        <v>#REF!</v>
      </c>
      <c r="N34" s="178" t="e">
        <f t="shared" si="1"/>
        <v>#REF!</v>
      </c>
      <c r="O34" s="176" t="e">
        <f t="shared" si="2"/>
        <v>#REF!</v>
      </c>
      <c r="P34" s="178" t="e">
        <f t="shared" si="11"/>
        <v>#REF!</v>
      </c>
      <c r="Q34" s="178" t="e">
        <f t="shared" si="6"/>
        <v>#REF!</v>
      </c>
      <c r="R34" s="179" t="e">
        <f t="shared" si="8"/>
        <v>#REF!</v>
      </c>
      <c r="S34" s="178" t="e">
        <f t="shared" si="9"/>
        <v>#REF!</v>
      </c>
      <c r="T34" s="178" t="e">
        <f t="shared" si="10"/>
        <v>#REF!</v>
      </c>
    </row>
    <row r="35" spans="1:20" ht="16.5" customHeight="1" x14ac:dyDescent="0.3">
      <c r="A35" s="65">
        <v>2</v>
      </c>
      <c r="B35" s="66" t="s">
        <v>30</v>
      </c>
      <c r="D35" s="185">
        <f>VLOOKUP(B35,'WF Need'!$B$7:$AB$64,27, FALSE)</f>
        <v>7425651.664217894</v>
      </c>
      <c r="E35" s="92">
        <f t="shared" si="3"/>
        <v>2.7319381776954236E-3</v>
      </c>
      <c r="F35" s="8" t="e">
        <f>#REF!</f>
        <v>#REF!</v>
      </c>
      <c r="H35" s="191" t="e">
        <f>IF(F35&lt;Floors!$E$4,Floors!$E$4, "-")</f>
        <v>#REF!</v>
      </c>
      <c r="I35" s="65" t="e">
        <f t="shared" si="4"/>
        <v>#REF!</v>
      </c>
      <c r="J35" s="188" t="e">
        <f>IF(I35="Y",VLOOKUP(B35,#REF!,2,FALSE)*1.1,"N/A ")</f>
        <v>#REF!</v>
      </c>
      <c r="K35" s="188" t="e">
        <f t="shared" si="0"/>
        <v>#REF!</v>
      </c>
      <c r="M35" s="188" t="e">
        <f t="shared" si="5"/>
        <v>#REF!</v>
      </c>
      <c r="N35" s="178" t="e">
        <f t="shared" si="1"/>
        <v>#REF!</v>
      </c>
      <c r="O35" s="176" t="e">
        <f t="shared" si="2"/>
        <v>#REF!</v>
      </c>
      <c r="P35" s="178" t="e">
        <f t="shared" si="11"/>
        <v>#REF!</v>
      </c>
      <c r="Q35" s="178" t="e">
        <f t="shared" si="6"/>
        <v>#REF!</v>
      </c>
      <c r="R35" s="179" t="e">
        <f t="shared" si="8"/>
        <v>#REF!</v>
      </c>
      <c r="S35" s="178" t="e">
        <f t="shared" si="9"/>
        <v>#REF!</v>
      </c>
      <c r="T35" s="178" t="e">
        <f t="shared" si="10"/>
        <v>#REF!</v>
      </c>
    </row>
    <row r="36" spans="1:20" ht="16.5" customHeight="1" x14ac:dyDescent="0.3">
      <c r="A36" s="65">
        <v>4</v>
      </c>
      <c r="B36" s="66" t="s">
        <v>55</v>
      </c>
      <c r="D36" s="185">
        <f>VLOOKUP(B36,'WF Need'!$B$7:$AB$64,27, FALSE)</f>
        <v>209526286.68112135</v>
      </c>
      <c r="E36" s="92">
        <f t="shared" si="3"/>
        <v>7.7085875785583444E-2</v>
      </c>
      <c r="F36" s="8" t="e">
        <f>#REF!</f>
        <v>#REF!</v>
      </c>
      <c r="H36" s="191" t="e">
        <f>IF(F36&lt;Floors!$E$4,Floors!$E$4, "-")</f>
        <v>#REF!</v>
      </c>
      <c r="I36" s="65" t="e">
        <f t="shared" si="4"/>
        <v>#REF!</v>
      </c>
      <c r="J36" s="188" t="e">
        <f>IF(I36="Y",VLOOKUP(B36,#REF!,2,FALSE)*1.1,"N/A ")</f>
        <v>#REF!</v>
      </c>
      <c r="K36" s="188" t="e">
        <f t="shared" si="0"/>
        <v>#REF!</v>
      </c>
      <c r="M36" s="188" t="e">
        <f t="shared" si="5"/>
        <v>#REF!</v>
      </c>
      <c r="N36" s="178" t="e">
        <f t="shared" si="1"/>
        <v>#REF!</v>
      </c>
      <c r="O36" s="176" t="e">
        <f t="shared" si="2"/>
        <v>#REF!</v>
      </c>
      <c r="P36" s="178" t="e">
        <f t="shared" si="11"/>
        <v>#REF!</v>
      </c>
      <c r="Q36" s="178" t="e">
        <f t="shared" si="6"/>
        <v>#REF!</v>
      </c>
      <c r="R36" s="179" t="e">
        <f t="shared" si="8"/>
        <v>#REF!</v>
      </c>
      <c r="S36" s="178" t="e">
        <f t="shared" si="9"/>
        <v>#REF!</v>
      </c>
      <c r="T36" s="178" t="e">
        <f t="shared" si="10"/>
        <v>#REF!</v>
      </c>
    </row>
    <row r="37" spans="1:20" ht="16.5" customHeight="1" x14ac:dyDescent="0.3">
      <c r="A37" s="65">
        <v>2</v>
      </c>
      <c r="B37" s="66" t="s">
        <v>31</v>
      </c>
      <c r="D37" s="185">
        <f>VLOOKUP(B37,'WF Need'!$B$7:$AB$64,27, FALSE)</f>
        <v>27355659.29093999</v>
      </c>
      <c r="E37" s="92">
        <f t="shared" si="3"/>
        <v>1.0064297838406459E-2</v>
      </c>
      <c r="F37" s="8" t="e">
        <f>#REF!</f>
        <v>#REF!</v>
      </c>
      <c r="H37" s="191" t="e">
        <f>IF(F37&lt;Floors!$E$4,Floors!$E$4, "-")</f>
        <v>#REF!</v>
      </c>
      <c r="I37" s="65" t="e">
        <f t="shared" si="4"/>
        <v>#REF!</v>
      </c>
      <c r="J37" s="188" t="e">
        <f>IF(I37="Y",VLOOKUP(B37,#REF!,2,FALSE)*1.1,"N/A ")</f>
        <v>#REF!</v>
      </c>
      <c r="K37" s="188" t="e">
        <f t="shared" si="0"/>
        <v>#REF!</v>
      </c>
      <c r="M37" s="188" t="e">
        <f t="shared" si="5"/>
        <v>#REF!</v>
      </c>
      <c r="N37" s="178" t="e">
        <f t="shared" si="1"/>
        <v>#REF!</v>
      </c>
      <c r="O37" s="176" t="e">
        <f t="shared" si="2"/>
        <v>#REF!</v>
      </c>
      <c r="P37" s="178" t="e">
        <f t="shared" si="11"/>
        <v>#REF!</v>
      </c>
      <c r="Q37" s="178" t="e">
        <f t="shared" si="6"/>
        <v>#REF!</v>
      </c>
      <c r="R37" s="179" t="e">
        <f t="shared" si="8"/>
        <v>#REF!</v>
      </c>
      <c r="S37" s="178" t="e">
        <f t="shared" si="9"/>
        <v>#REF!</v>
      </c>
      <c r="T37" s="178" t="e">
        <f t="shared" si="10"/>
        <v>#REF!</v>
      </c>
    </row>
    <row r="38" spans="1:20" ht="16.5" customHeight="1" x14ac:dyDescent="0.3">
      <c r="A38" s="65">
        <v>1</v>
      </c>
      <c r="B38" s="66" t="s">
        <v>15</v>
      </c>
      <c r="D38" s="185">
        <f>VLOOKUP(B38,'WF Need'!$B$7:$AB$64,27, FALSE)</f>
        <v>1629248.2096546306</v>
      </c>
      <c r="E38" s="92">
        <f t="shared" si="3"/>
        <v>5.9940939680022069E-4</v>
      </c>
      <c r="F38" s="8" t="e">
        <f>#REF!</f>
        <v>#REF!</v>
      </c>
      <c r="H38" s="191" t="e">
        <f>IF(F38&lt;Floors!$E$4,Floors!$E$4, "-")</f>
        <v>#REF!</v>
      </c>
      <c r="I38" s="65" t="e">
        <f t="shared" si="4"/>
        <v>#REF!</v>
      </c>
      <c r="J38" s="188" t="e">
        <f>IF(I38="Y",VLOOKUP(B38,#REF!,2,FALSE)*1.1,"N/A ")</f>
        <v>#REF!</v>
      </c>
      <c r="K38" s="188" t="e">
        <f t="shared" si="0"/>
        <v>#REF!</v>
      </c>
      <c r="M38" s="188" t="e">
        <f t="shared" si="5"/>
        <v>#REF!</v>
      </c>
      <c r="N38" s="178" t="e">
        <f t="shared" si="1"/>
        <v>#REF!</v>
      </c>
      <c r="O38" s="178" t="e">
        <f t="shared" si="2"/>
        <v>#REF!</v>
      </c>
      <c r="P38" s="178" t="e">
        <f t="shared" si="11"/>
        <v>#REF!</v>
      </c>
      <c r="Q38" s="178" t="e">
        <f t="shared" si="6"/>
        <v>#REF!</v>
      </c>
      <c r="R38" s="179" t="e">
        <f t="shared" si="8"/>
        <v>#REF!</v>
      </c>
      <c r="S38" s="178" t="e">
        <f t="shared" si="9"/>
        <v>#REF!</v>
      </c>
      <c r="T38" s="178" t="e">
        <f t="shared" si="10"/>
        <v>#REF!</v>
      </c>
    </row>
    <row r="39" spans="1:20" ht="16.5" customHeight="1" x14ac:dyDescent="0.3">
      <c r="A39" s="65">
        <v>4</v>
      </c>
      <c r="B39" s="66" t="s">
        <v>56</v>
      </c>
      <c r="D39" s="185">
        <f>VLOOKUP(B39,'WF Need'!$B$7:$AB$64,27, FALSE)</f>
        <v>155691163.47170913</v>
      </c>
      <c r="E39" s="92">
        <f t="shared" si="3"/>
        <v>5.7279637215918354E-2</v>
      </c>
      <c r="F39" s="8" t="e">
        <f>#REF!</f>
        <v>#REF!</v>
      </c>
      <c r="H39" s="191" t="e">
        <f>IF(F39&lt;Floors!$E$4,Floors!$E$4, "-")</f>
        <v>#REF!</v>
      </c>
      <c r="I39" s="65" t="e">
        <f t="shared" si="4"/>
        <v>#REF!</v>
      </c>
      <c r="J39" s="188" t="e">
        <f>IF(I39="Y",VLOOKUP(B39,#REF!,2,FALSE)*1.1,"N/A ")</f>
        <v>#REF!</v>
      </c>
      <c r="K39" s="188" t="e">
        <f t="shared" si="0"/>
        <v>#REF!</v>
      </c>
      <c r="M39" s="188" t="e">
        <f t="shared" si="5"/>
        <v>#REF!</v>
      </c>
      <c r="N39" s="178" t="e">
        <f t="shared" si="1"/>
        <v>#REF!</v>
      </c>
      <c r="O39" s="176" t="e">
        <f t="shared" si="2"/>
        <v>#REF!</v>
      </c>
      <c r="P39" s="178" t="e">
        <f t="shared" si="11"/>
        <v>#REF!</v>
      </c>
      <c r="Q39" s="178" t="e">
        <f t="shared" si="6"/>
        <v>#REF!</v>
      </c>
      <c r="R39" s="179" t="e">
        <f t="shared" si="8"/>
        <v>#REF!</v>
      </c>
      <c r="S39" s="178" t="e">
        <f t="shared" si="9"/>
        <v>#REF!</v>
      </c>
      <c r="T39" s="178" t="e">
        <f t="shared" si="10"/>
        <v>#REF!</v>
      </c>
    </row>
    <row r="40" spans="1:20" ht="16.5" customHeight="1" x14ac:dyDescent="0.3">
      <c r="A40" s="65">
        <v>4</v>
      </c>
      <c r="B40" s="66" t="s">
        <v>57</v>
      </c>
      <c r="D40" s="185">
        <f>VLOOKUP(B40,'WF Need'!$B$7:$AB$64,27, FALSE)</f>
        <v>122332264.04602222</v>
      </c>
      <c r="E40" s="92">
        <f t="shared" si="3"/>
        <v>4.5006714241886722E-2</v>
      </c>
      <c r="F40" s="8" t="e">
        <f>#REF!</f>
        <v>#REF!</v>
      </c>
      <c r="H40" s="191" t="e">
        <f>IF(F40&lt;Floors!$E$4,Floors!$E$4, "-")</f>
        <v>#REF!</v>
      </c>
      <c r="I40" s="65" t="e">
        <f t="shared" si="4"/>
        <v>#REF!</v>
      </c>
      <c r="J40" s="188" t="e">
        <f>IF(I40="Y",VLOOKUP(B40,#REF!,2,FALSE)*1.1,"N/A ")</f>
        <v>#REF!</v>
      </c>
      <c r="K40" s="188" t="e">
        <f t="shared" si="0"/>
        <v>#REF!</v>
      </c>
      <c r="M40" s="188" t="e">
        <f t="shared" si="5"/>
        <v>#REF!</v>
      </c>
      <c r="N40" s="178" t="e">
        <f t="shared" si="1"/>
        <v>#REF!</v>
      </c>
      <c r="O40" s="176" t="e">
        <f t="shared" si="2"/>
        <v>#REF!</v>
      </c>
      <c r="P40" s="178" t="e">
        <f t="shared" si="11"/>
        <v>#REF!</v>
      </c>
      <c r="Q40" s="178" t="e">
        <f t="shared" si="6"/>
        <v>#REF!</v>
      </c>
      <c r="R40" s="179" t="e">
        <f t="shared" si="8"/>
        <v>#REF!</v>
      </c>
      <c r="S40" s="178" t="e">
        <f t="shared" si="9"/>
        <v>#REF!</v>
      </c>
      <c r="T40" s="178" t="e">
        <f t="shared" si="10"/>
        <v>#REF!</v>
      </c>
    </row>
    <row r="41" spans="1:20" ht="16.5" customHeight="1" x14ac:dyDescent="0.3">
      <c r="A41" s="65">
        <v>1</v>
      </c>
      <c r="B41" s="66" t="s">
        <v>16</v>
      </c>
      <c r="D41" s="185">
        <f>VLOOKUP(B41,'WF Need'!$B$7:$AB$64,27, FALSE)</f>
        <v>4197091.8940356504</v>
      </c>
      <c r="E41" s="92">
        <f t="shared" si="3"/>
        <v>1.5441332423205801E-3</v>
      </c>
      <c r="F41" s="8" t="e">
        <f>#REF!</f>
        <v>#REF!</v>
      </c>
      <c r="H41" s="191" t="e">
        <f>IF(F41&lt;Floors!$E$4,Floors!$E$4, "-")</f>
        <v>#REF!</v>
      </c>
      <c r="I41" s="65" t="e">
        <f t="shared" si="4"/>
        <v>#REF!</v>
      </c>
      <c r="J41" s="188" t="e">
        <f>IF(I41="Y",VLOOKUP(B41,#REF!,2,FALSE)*1.1,"N/A ")</f>
        <v>#REF!</v>
      </c>
      <c r="K41" s="188" t="e">
        <f t="shared" si="0"/>
        <v>#REF!</v>
      </c>
      <c r="M41" s="188" t="e">
        <f t="shared" si="5"/>
        <v>#REF!</v>
      </c>
      <c r="N41" s="178" t="e">
        <f t="shared" si="1"/>
        <v>#REF!</v>
      </c>
      <c r="O41" s="176" t="e">
        <f t="shared" si="2"/>
        <v>#REF!</v>
      </c>
      <c r="P41" s="178" t="e">
        <f t="shared" si="11"/>
        <v>#REF!</v>
      </c>
      <c r="Q41" s="178" t="e">
        <f t="shared" si="6"/>
        <v>#REF!</v>
      </c>
      <c r="R41" s="179" t="e">
        <f t="shared" si="8"/>
        <v>#REF!</v>
      </c>
      <c r="S41" s="178" t="e">
        <f t="shared" si="9"/>
        <v>#REF!</v>
      </c>
      <c r="T41" s="178" t="e">
        <f t="shared" si="10"/>
        <v>#REF!</v>
      </c>
    </row>
    <row r="42" spans="1:20" ht="16.5" customHeight="1" x14ac:dyDescent="0.3">
      <c r="A42" s="65">
        <v>4</v>
      </c>
      <c r="B42" s="66" t="s">
        <v>58</v>
      </c>
      <c r="D42" s="185">
        <f>VLOOKUP(B42,'WF Need'!$B$7:$AB$64,27, FALSE)</f>
        <v>156640094.59958005</v>
      </c>
      <c r="E42" s="92">
        <f t="shared" si="3"/>
        <v>5.7628754208400815E-2</v>
      </c>
      <c r="F42" s="8" t="e">
        <f>#REF!</f>
        <v>#REF!</v>
      </c>
      <c r="H42" s="191" t="e">
        <f>IF(F42&lt;Floors!$E$4,Floors!$E$4, "-")</f>
        <v>#REF!</v>
      </c>
      <c r="I42" s="65" t="e">
        <f t="shared" si="4"/>
        <v>#REF!</v>
      </c>
      <c r="J42" s="188" t="e">
        <f>IF(I42="Y",VLOOKUP(B42,#REF!,2,FALSE)*1.1,"N/A ")</f>
        <v>#REF!</v>
      </c>
      <c r="K42" s="188" t="e">
        <f t="shared" si="0"/>
        <v>#REF!</v>
      </c>
      <c r="M42" s="188" t="e">
        <f t="shared" si="5"/>
        <v>#REF!</v>
      </c>
      <c r="N42" s="178" t="e">
        <f t="shared" si="1"/>
        <v>#REF!</v>
      </c>
      <c r="O42" s="176" t="e">
        <f t="shared" si="2"/>
        <v>#REF!</v>
      </c>
      <c r="P42" s="178" t="e">
        <f>IF(M42="n/a",(IF(AND(H42=750000,(F42&gt;750000)), H42-F42, 0)),M42-F42)</f>
        <v>#REF!</v>
      </c>
      <c r="Q42" s="178" t="e">
        <f t="shared" si="6"/>
        <v>#REF!</v>
      </c>
      <c r="R42" s="179" t="e">
        <f t="shared" si="8"/>
        <v>#REF!</v>
      </c>
      <c r="S42" s="178" t="e">
        <f t="shared" si="9"/>
        <v>#REF!</v>
      </c>
      <c r="T42" s="178" t="e">
        <f t="shared" si="10"/>
        <v>#REF!</v>
      </c>
    </row>
    <row r="43" spans="1:20" ht="16.5" customHeight="1" x14ac:dyDescent="0.3">
      <c r="A43" s="65">
        <v>4</v>
      </c>
      <c r="B43" s="66" t="s">
        <v>59</v>
      </c>
      <c r="D43" s="185">
        <f>VLOOKUP(B43,'WF Need'!$B$7:$AB$64,27, FALSE)</f>
        <v>189500353.05604979</v>
      </c>
      <c r="E43" s="92">
        <f t="shared" si="3"/>
        <v>6.9718224421332464E-2</v>
      </c>
      <c r="F43" s="8" t="e">
        <f>#REF!</f>
        <v>#REF!</v>
      </c>
      <c r="H43" s="191" t="e">
        <f>IF(F43&lt;Floors!$E$4,Floors!$E$4, "-")</f>
        <v>#REF!</v>
      </c>
      <c r="I43" s="65" t="e">
        <f t="shared" si="4"/>
        <v>#REF!</v>
      </c>
      <c r="J43" s="188" t="e">
        <f>IF(I43="Y",VLOOKUP(B43,#REF!,2,FALSE)*1.1,"N/A ")</f>
        <v>#REF!</v>
      </c>
      <c r="K43" s="188" t="e">
        <f t="shared" si="0"/>
        <v>#REF!</v>
      </c>
      <c r="M43" s="188" t="e">
        <f t="shared" si="5"/>
        <v>#REF!</v>
      </c>
      <c r="N43" s="178" t="e">
        <f t="shared" si="1"/>
        <v>#REF!</v>
      </c>
      <c r="O43" s="176" t="e">
        <f t="shared" si="2"/>
        <v>#REF!</v>
      </c>
      <c r="P43" s="178" t="e">
        <f>IF(M43="n/a",(IF(AND(H43=750000,(F43&gt;750000)), H43-F43, 0)),M43-F43)</f>
        <v>#REF!</v>
      </c>
      <c r="Q43" s="178" t="e">
        <f t="shared" si="6"/>
        <v>#REF!</v>
      </c>
      <c r="R43" s="179" t="e">
        <f t="shared" si="8"/>
        <v>#REF!</v>
      </c>
      <c r="S43" s="178" t="e">
        <f t="shared" si="9"/>
        <v>#REF!</v>
      </c>
      <c r="T43" s="178" t="e">
        <f t="shared" si="10"/>
        <v>#REF!</v>
      </c>
    </row>
    <row r="44" spans="1:20" ht="16.5" customHeight="1" x14ac:dyDescent="0.3">
      <c r="A44" s="65">
        <v>4</v>
      </c>
      <c r="B44" s="66" t="s">
        <v>60</v>
      </c>
      <c r="D44" s="185">
        <f>VLOOKUP(B44,'WF Need'!$B$7:$AB$64,27, FALSE)</f>
        <v>55305113.548206605</v>
      </c>
      <c r="E44" s="92">
        <f t="shared" si="3"/>
        <v>2.0347056117941346E-2</v>
      </c>
      <c r="F44" s="8" t="e">
        <f>#REF!</f>
        <v>#REF!</v>
      </c>
      <c r="H44" s="191" t="e">
        <f>IF(F44&lt;Floors!$E$4,Floors!$E$4, "-")</f>
        <v>#REF!</v>
      </c>
      <c r="I44" s="65" t="e">
        <f t="shared" si="4"/>
        <v>#REF!</v>
      </c>
      <c r="J44" s="188" t="e">
        <f>IF(I44="Y",VLOOKUP(B44,#REF!,2,FALSE)*1.1,"N/A ")</f>
        <v>#REF!</v>
      </c>
      <c r="K44" s="188" t="e">
        <f t="shared" si="0"/>
        <v>#REF!</v>
      </c>
      <c r="M44" s="188" t="e">
        <f t="shared" si="5"/>
        <v>#REF!</v>
      </c>
      <c r="N44" s="178" t="e">
        <f t="shared" si="1"/>
        <v>#REF!</v>
      </c>
      <c r="O44" s="176" t="e">
        <f t="shared" si="2"/>
        <v>#REF!</v>
      </c>
      <c r="P44" s="178" t="e">
        <f t="shared" ref="P44:P54" si="12">IF(M44="n/a",(IF(AND(H44=750000,(F44&gt;750000)), H44-F44, 0)),M44-F44)</f>
        <v>#REF!</v>
      </c>
      <c r="Q44" s="178" t="e">
        <f t="shared" si="6"/>
        <v>#REF!</v>
      </c>
      <c r="R44" s="179" t="e">
        <f t="shared" si="8"/>
        <v>#REF!</v>
      </c>
      <c r="S44" s="178" t="e">
        <f t="shared" si="9"/>
        <v>#REF!</v>
      </c>
      <c r="T44" s="178" t="e">
        <f t="shared" si="10"/>
        <v>#REF!</v>
      </c>
    </row>
    <row r="45" spans="1:20" ht="16.5" customHeight="1" x14ac:dyDescent="0.3">
      <c r="A45" s="65">
        <v>3</v>
      </c>
      <c r="B45" s="66" t="s">
        <v>45</v>
      </c>
      <c r="D45" s="185">
        <f>VLOOKUP(B45,'WF Need'!$B$7:$AB$64,27, FALSE)</f>
        <v>53533653.432583667</v>
      </c>
      <c r="E45" s="92">
        <f t="shared" si="3"/>
        <v>1.9695326177058808E-2</v>
      </c>
      <c r="F45" s="8" t="e">
        <f>#REF!</f>
        <v>#REF!</v>
      </c>
      <c r="H45" s="191" t="e">
        <f>IF(F45&lt;Floors!$E$4,Floors!$E$4, "-")</f>
        <v>#REF!</v>
      </c>
      <c r="I45" s="65" t="e">
        <f t="shared" si="4"/>
        <v>#REF!</v>
      </c>
      <c r="J45" s="188" t="e">
        <f>IF(I45="Y",VLOOKUP(B45,#REF!,2,FALSE)*1.1,"N/A ")</f>
        <v>#REF!</v>
      </c>
      <c r="K45" s="188" t="e">
        <f t="shared" si="0"/>
        <v>#REF!</v>
      </c>
      <c r="M45" s="188" t="e">
        <f t="shared" si="5"/>
        <v>#REF!</v>
      </c>
      <c r="N45" s="178" t="e">
        <f t="shared" si="1"/>
        <v>#REF!</v>
      </c>
      <c r="O45" s="176" t="e">
        <f t="shared" si="2"/>
        <v>#REF!</v>
      </c>
      <c r="P45" s="178" t="e">
        <f t="shared" si="12"/>
        <v>#REF!</v>
      </c>
      <c r="Q45" s="178" t="e">
        <f t="shared" si="6"/>
        <v>#REF!</v>
      </c>
      <c r="R45" s="179" t="e">
        <f t="shared" si="8"/>
        <v>#REF!</v>
      </c>
      <c r="S45" s="178" t="e">
        <f t="shared" si="9"/>
        <v>#REF!</v>
      </c>
      <c r="T45" s="178" t="e">
        <f t="shared" si="10"/>
        <v>#REF!</v>
      </c>
    </row>
    <row r="46" spans="1:20" ht="16.5" customHeight="1" x14ac:dyDescent="0.3">
      <c r="A46" s="65">
        <v>2</v>
      </c>
      <c r="B46" s="66" t="s">
        <v>32</v>
      </c>
      <c r="D46" s="185">
        <f>VLOOKUP(B46,'WF Need'!$B$7:$AB$64,27, FALSE)</f>
        <v>19492482.259110488</v>
      </c>
      <c r="E46" s="92">
        <f t="shared" si="3"/>
        <v>7.1713916663128938E-3</v>
      </c>
      <c r="F46" s="8" t="e">
        <f>#REF!</f>
        <v>#REF!</v>
      </c>
      <c r="H46" s="191" t="e">
        <f>IF(F46&lt;Floors!$E$4,Floors!$E$4, "-")</f>
        <v>#REF!</v>
      </c>
      <c r="I46" s="65" t="e">
        <f t="shared" si="4"/>
        <v>#REF!</v>
      </c>
      <c r="J46" s="188" t="e">
        <f>IF(I46="Y",VLOOKUP(B46,#REF!,2,FALSE)*1.1,"N/A ")</f>
        <v>#REF!</v>
      </c>
      <c r="K46" s="188" t="e">
        <f t="shared" si="0"/>
        <v>#REF!</v>
      </c>
      <c r="M46" s="188" t="e">
        <f t="shared" si="5"/>
        <v>#REF!</v>
      </c>
      <c r="N46" s="178" t="e">
        <f t="shared" si="1"/>
        <v>#REF!</v>
      </c>
      <c r="O46" s="176" t="e">
        <f t="shared" si="2"/>
        <v>#REF!</v>
      </c>
      <c r="P46" s="178" t="e">
        <f t="shared" si="12"/>
        <v>#REF!</v>
      </c>
      <c r="Q46" s="178" t="e">
        <f t="shared" si="6"/>
        <v>#REF!</v>
      </c>
      <c r="R46" s="179" t="e">
        <f t="shared" si="8"/>
        <v>#REF!</v>
      </c>
      <c r="S46" s="178" t="e">
        <f t="shared" si="9"/>
        <v>#REF!</v>
      </c>
      <c r="T46" s="178" t="e">
        <f t="shared" si="10"/>
        <v>#REF!</v>
      </c>
    </row>
    <row r="47" spans="1:20" ht="16.5" customHeight="1" x14ac:dyDescent="0.3">
      <c r="A47" s="65">
        <v>3</v>
      </c>
      <c r="B47" s="66" t="s">
        <v>46</v>
      </c>
      <c r="D47" s="185">
        <f>VLOOKUP(B47,'WF Need'!$B$7:$AB$64,27, FALSE)</f>
        <v>49033290.226360828</v>
      </c>
      <c r="E47" s="92">
        <f t="shared" si="3"/>
        <v>1.8039617747343379E-2</v>
      </c>
      <c r="F47" s="8" t="e">
        <f>#REF!</f>
        <v>#REF!</v>
      </c>
      <c r="H47" s="191" t="e">
        <f>IF(F47&lt;Floors!$E$4,Floors!$E$4, "-")</f>
        <v>#REF!</v>
      </c>
      <c r="I47" s="65" t="e">
        <f t="shared" si="4"/>
        <v>#REF!</v>
      </c>
      <c r="J47" s="188" t="e">
        <f>IF(I47="Y",VLOOKUP(B47,#REF!,2,FALSE)*1.1,"N/A ")</f>
        <v>#REF!</v>
      </c>
      <c r="K47" s="188" t="e">
        <f t="shared" si="0"/>
        <v>#REF!</v>
      </c>
      <c r="M47" s="188" t="e">
        <f t="shared" si="5"/>
        <v>#REF!</v>
      </c>
      <c r="N47" s="178" t="e">
        <f t="shared" si="1"/>
        <v>#REF!</v>
      </c>
      <c r="O47" s="176" t="e">
        <f t="shared" si="2"/>
        <v>#REF!</v>
      </c>
      <c r="P47" s="178" t="e">
        <f t="shared" si="12"/>
        <v>#REF!</v>
      </c>
      <c r="Q47" s="178" t="e">
        <f t="shared" si="6"/>
        <v>#REF!</v>
      </c>
      <c r="R47" s="179" t="e">
        <f t="shared" si="8"/>
        <v>#REF!</v>
      </c>
      <c r="S47" s="178" t="e">
        <f t="shared" si="9"/>
        <v>#REF!</v>
      </c>
      <c r="T47" s="178" t="e">
        <f t="shared" si="10"/>
        <v>#REF!</v>
      </c>
    </row>
    <row r="48" spans="1:20" ht="16.5" customHeight="1" x14ac:dyDescent="0.3">
      <c r="A48" s="65">
        <v>3</v>
      </c>
      <c r="B48" s="66" t="s">
        <v>47</v>
      </c>
      <c r="D48" s="185">
        <f>VLOOKUP(B48,'WF Need'!$B$7:$AB$64,27, FALSE)</f>
        <v>29058002.477655075</v>
      </c>
      <c r="E48" s="92">
        <f t="shared" si="3"/>
        <v>1.0690599280169074E-2</v>
      </c>
      <c r="F48" s="8" t="e">
        <f>#REF!</f>
        <v>#REF!</v>
      </c>
      <c r="H48" s="191" t="e">
        <f>IF(F48&lt;Floors!$E$4,Floors!$E$4, "-")</f>
        <v>#REF!</v>
      </c>
      <c r="I48" s="65" t="e">
        <f t="shared" si="4"/>
        <v>#REF!</v>
      </c>
      <c r="J48" s="188" t="e">
        <f>IF(I48="Y",VLOOKUP(B48,#REF!,2,FALSE)*1.1,"N/A ")</f>
        <v>#REF!</v>
      </c>
      <c r="K48" s="188" t="e">
        <f t="shared" si="0"/>
        <v>#REF!</v>
      </c>
      <c r="M48" s="188" t="e">
        <f t="shared" si="5"/>
        <v>#REF!</v>
      </c>
      <c r="N48" s="178" t="e">
        <f t="shared" si="1"/>
        <v>#REF!</v>
      </c>
      <c r="O48" s="176" t="e">
        <f t="shared" si="2"/>
        <v>#REF!</v>
      </c>
      <c r="P48" s="178" t="e">
        <f t="shared" si="12"/>
        <v>#REF!</v>
      </c>
      <c r="Q48" s="178" t="e">
        <f t="shared" si="6"/>
        <v>#REF!</v>
      </c>
      <c r="R48" s="179" t="e">
        <f t="shared" si="8"/>
        <v>#REF!</v>
      </c>
      <c r="S48" s="178" t="e">
        <f t="shared" si="9"/>
        <v>#REF!</v>
      </c>
      <c r="T48" s="178" t="e">
        <f t="shared" si="10"/>
        <v>#REF!</v>
      </c>
    </row>
    <row r="49" spans="1:20" ht="16.5" customHeight="1" x14ac:dyDescent="0.3">
      <c r="A49" s="65">
        <v>4</v>
      </c>
      <c r="B49" s="66" t="s">
        <v>61</v>
      </c>
      <c r="D49" s="185">
        <f>VLOOKUP(B49,'WF Need'!$B$7:$AB$64,27, FALSE)</f>
        <v>97354039.274159402</v>
      </c>
      <c r="E49" s="92">
        <f t="shared" si="3"/>
        <v>3.581708766754392E-2</v>
      </c>
      <c r="F49" s="8" t="e">
        <f>#REF!</f>
        <v>#REF!</v>
      </c>
      <c r="H49" s="191" t="e">
        <f>IF(F49&lt;Floors!$E$4,Floors!$E$4, "-")</f>
        <v>#REF!</v>
      </c>
      <c r="I49" s="65" t="e">
        <f t="shared" si="4"/>
        <v>#REF!</v>
      </c>
      <c r="J49" s="188" t="e">
        <f>IF(I49="Y",VLOOKUP(B49,#REF!,2,FALSE)*1.1,"N/A ")</f>
        <v>#REF!</v>
      </c>
      <c r="K49" s="188" t="e">
        <f t="shared" si="0"/>
        <v>#REF!</v>
      </c>
      <c r="M49" s="188" t="e">
        <f t="shared" si="5"/>
        <v>#REF!</v>
      </c>
      <c r="N49" s="178" t="e">
        <f t="shared" si="1"/>
        <v>#REF!</v>
      </c>
      <c r="O49" s="176" t="e">
        <f t="shared" si="2"/>
        <v>#REF!</v>
      </c>
      <c r="P49" s="178" t="e">
        <f t="shared" si="12"/>
        <v>#REF!</v>
      </c>
      <c r="Q49" s="178" t="e">
        <f t="shared" si="6"/>
        <v>#REF!</v>
      </c>
      <c r="R49" s="179" t="e">
        <f t="shared" si="8"/>
        <v>#REF!</v>
      </c>
      <c r="S49" s="178" t="e">
        <f t="shared" si="9"/>
        <v>#REF!</v>
      </c>
      <c r="T49" s="178" t="e">
        <f t="shared" si="10"/>
        <v>#REF!</v>
      </c>
    </row>
    <row r="50" spans="1:20" ht="16.5" customHeight="1" x14ac:dyDescent="0.3">
      <c r="A50" s="65">
        <v>2</v>
      </c>
      <c r="B50" s="66" t="s">
        <v>33</v>
      </c>
      <c r="D50" s="185">
        <f>VLOOKUP(B50,'WF Need'!$B$7:$AB$64,27, FALSE)</f>
        <v>16940790.024323922</v>
      </c>
      <c r="E50" s="92">
        <f t="shared" si="3"/>
        <v>6.2326100281256411E-3</v>
      </c>
      <c r="F50" s="8" t="e">
        <f>#REF!</f>
        <v>#REF!</v>
      </c>
      <c r="H50" s="191" t="e">
        <f>IF(F50&lt;Floors!$E$4,Floors!$E$4, "-")</f>
        <v>#REF!</v>
      </c>
      <c r="I50" s="65" t="e">
        <f t="shared" si="4"/>
        <v>#REF!</v>
      </c>
      <c r="J50" s="188" t="e">
        <f>IF(I50="Y",VLOOKUP(B50,#REF!,2,FALSE)*1.1,"N/A ")</f>
        <v>#REF!</v>
      </c>
      <c r="K50" s="188" t="e">
        <f t="shared" si="0"/>
        <v>#REF!</v>
      </c>
      <c r="M50" s="188" t="e">
        <f t="shared" si="5"/>
        <v>#REF!</v>
      </c>
      <c r="N50" s="178" t="e">
        <f t="shared" si="1"/>
        <v>#REF!</v>
      </c>
      <c r="O50" s="176" t="e">
        <f t="shared" si="2"/>
        <v>#REF!</v>
      </c>
      <c r="P50" s="178" t="e">
        <f t="shared" si="12"/>
        <v>#REF!</v>
      </c>
      <c r="Q50" s="178" t="e">
        <f t="shared" si="6"/>
        <v>#REF!</v>
      </c>
      <c r="R50" s="179" t="e">
        <f t="shared" si="8"/>
        <v>#REF!</v>
      </c>
      <c r="S50" s="178" t="e">
        <f t="shared" si="9"/>
        <v>#REF!</v>
      </c>
      <c r="T50" s="178" t="e">
        <f t="shared" si="10"/>
        <v>#REF!</v>
      </c>
    </row>
    <row r="51" spans="1:20" ht="16.5" customHeight="1" x14ac:dyDescent="0.3">
      <c r="A51" s="65">
        <v>2</v>
      </c>
      <c r="B51" s="66" t="s">
        <v>34</v>
      </c>
      <c r="D51" s="185">
        <f>VLOOKUP(B51,'WF Need'!$B$7:$AB$64,27, FALSE)</f>
        <v>18198451.544947676</v>
      </c>
      <c r="E51" s="92">
        <f t="shared" si="3"/>
        <v>6.6953106338336786E-3</v>
      </c>
      <c r="F51" s="8" t="e">
        <f>#REF!</f>
        <v>#REF!</v>
      </c>
      <c r="H51" s="191" t="e">
        <f>IF(F51&lt;Floors!$E$4,Floors!$E$4, "-")</f>
        <v>#REF!</v>
      </c>
      <c r="I51" s="65" t="e">
        <f t="shared" si="4"/>
        <v>#REF!</v>
      </c>
      <c r="J51" s="188" t="e">
        <f>IF(I51="Y",VLOOKUP(B51,#REF!,2,FALSE)*1.1,"N/A ")</f>
        <v>#REF!</v>
      </c>
      <c r="K51" s="188" t="e">
        <f t="shared" si="0"/>
        <v>#REF!</v>
      </c>
      <c r="M51" s="188" t="e">
        <f t="shared" si="5"/>
        <v>#REF!</v>
      </c>
      <c r="N51" s="178" t="e">
        <f t="shared" si="1"/>
        <v>#REF!</v>
      </c>
      <c r="O51" s="176" t="e">
        <f t="shared" si="2"/>
        <v>#REF!</v>
      </c>
      <c r="P51" s="178" t="e">
        <f t="shared" si="12"/>
        <v>#REF!</v>
      </c>
      <c r="Q51" s="178" t="e">
        <f t="shared" si="6"/>
        <v>#REF!</v>
      </c>
      <c r="R51" s="179" t="e">
        <f t="shared" si="8"/>
        <v>#REF!</v>
      </c>
      <c r="S51" s="178" t="e">
        <f t="shared" si="9"/>
        <v>#REF!</v>
      </c>
      <c r="T51" s="178" t="e">
        <f t="shared" si="10"/>
        <v>#REF!</v>
      </c>
    </row>
    <row r="52" spans="1:20" ht="16.5" customHeight="1" x14ac:dyDescent="0.3">
      <c r="A52" s="65">
        <v>1</v>
      </c>
      <c r="B52" s="66" t="s">
        <v>17</v>
      </c>
      <c r="D52" s="185">
        <f>VLOOKUP(B52,'WF Need'!$B$7:$AB$64,27, FALSE)</f>
        <v>623149.45440386317</v>
      </c>
      <c r="E52" s="92">
        <f t="shared" si="3"/>
        <v>2.2926011909492027E-4</v>
      </c>
      <c r="F52" s="8" t="e">
        <f>#REF!</f>
        <v>#REF!</v>
      </c>
      <c r="H52" s="191" t="e">
        <f>IF(F52&lt;Floors!$E$4,Floors!$E$4, "-")</f>
        <v>#REF!</v>
      </c>
      <c r="I52" s="65" t="e">
        <f t="shared" si="4"/>
        <v>#REF!</v>
      </c>
      <c r="J52" s="188" t="e">
        <f>IF(I52="Y",VLOOKUP(B52,#REF!,2,FALSE)*1.1,"N/A ")</f>
        <v>#REF!</v>
      </c>
      <c r="K52" s="188" t="e">
        <f>IF(I52="Y",F52, "N/A ")</f>
        <v>#REF!</v>
      </c>
      <c r="M52" s="189" t="e">
        <f t="shared" si="5"/>
        <v>#REF!</v>
      </c>
      <c r="N52" s="178" t="e">
        <f t="shared" si="1"/>
        <v>#REF!</v>
      </c>
      <c r="O52" s="178" t="e">
        <f t="shared" si="2"/>
        <v>#REF!</v>
      </c>
      <c r="P52" s="178" t="e">
        <f t="shared" si="12"/>
        <v>#REF!</v>
      </c>
      <c r="Q52" s="178" t="e">
        <f t="shared" si="6"/>
        <v>#REF!</v>
      </c>
      <c r="R52" s="179" t="e">
        <f t="shared" si="8"/>
        <v>#REF!</v>
      </c>
      <c r="S52" s="178" t="e">
        <f t="shared" si="9"/>
        <v>#REF!</v>
      </c>
      <c r="T52" s="178" t="e">
        <f t="shared" si="10"/>
        <v>#REF!</v>
      </c>
    </row>
    <row r="53" spans="1:20" ht="16.5" customHeight="1" x14ac:dyDescent="0.3">
      <c r="A53" s="65">
        <v>2</v>
      </c>
      <c r="B53" s="66" t="s">
        <v>35</v>
      </c>
      <c r="D53" s="185">
        <f>VLOOKUP(B53,'WF Need'!$B$7:$AB$64,27, FALSE)</f>
        <v>4841097.6691920273</v>
      </c>
      <c r="E53" s="92">
        <f t="shared" si="3"/>
        <v>1.7810665167810578E-3</v>
      </c>
      <c r="F53" s="8" t="e">
        <f>#REF!</f>
        <v>#REF!</v>
      </c>
      <c r="H53" s="191" t="e">
        <f>IF(F53&lt;Floors!$E$4,Floors!$E$4, "-")</f>
        <v>#REF!</v>
      </c>
      <c r="I53" s="65" t="e">
        <f t="shared" si="4"/>
        <v>#REF!</v>
      </c>
      <c r="J53" s="188" t="e">
        <f>IF(I53="Y",VLOOKUP(B53,#REF!,2,FALSE)*1.1,"N/A ")</f>
        <v>#REF!</v>
      </c>
      <c r="K53" s="188" t="e">
        <f t="shared" si="0"/>
        <v>#REF!</v>
      </c>
      <c r="M53" s="188" t="e">
        <f t="shared" si="5"/>
        <v>#REF!</v>
      </c>
      <c r="N53" s="178" t="e">
        <f t="shared" si="1"/>
        <v>#REF!</v>
      </c>
      <c r="O53" s="176" t="e">
        <f t="shared" si="2"/>
        <v>#REF!</v>
      </c>
      <c r="P53" s="178" t="e">
        <f t="shared" si="12"/>
        <v>#REF!</v>
      </c>
      <c r="Q53" s="178" t="e">
        <f t="shared" si="6"/>
        <v>#REF!</v>
      </c>
      <c r="R53" s="179" t="e">
        <f t="shared" si="8"/>
        <v>#REF!</v>
      </c>
      <c r="S53" s="178" t="e">
        <f t="shared" si="9"/>
        <v>#REF!</v>
      </c>
      <c r="T53" s="178" t="e">
        <f t="shared" si="10"/>
        <v>#REF!</v>
      </c>
    </row>
    <row r="54" spans="1:20" ht="16.5" customHeight="1" x14ac:dyDescent="0.3">
      <c r="A54" s="65">
        <v>3</v>
      </c>
      <c r="B54" s="66" t="s">
        <v>48</v>
      </c>
      <c r="D54" s="185">
        <f>VLOOKUP(B54,'WF Need'!$B$7:$AB$64,27, FALSE)</f>
        <v>31445138.753021073</v>
      </c>
      <c r="E54" s="92">
        <f t="shared" si="3"/>
        <v>1.1568839873847785E-2</v>
      </c>
      <c r="F54" s="8" t="e">
        <f>#REF!</f>
        <v>#REF!</v>
      </c>
      <c r="H54" s="191" t="e">
        <f>IF(F54&lt;Floors!$E$4,Floors!$E$4, "-")</f>
        <v>#REF!</v>
      </c>
      <c r="I54" s="65" t="e">
        <f t="shared" si="4"/>
        <v>#REF!</v>
      </c>
      <c r="J54" s="188" t="e">
        <f>IF(I54="Y",VLOOKUP(B54,#REF!,2,FALSE)*1.1,"N/A ")</f>
        <v>#REF!</v>
      </c>
      <c r="K54" s="188" t="e">
        <f t="shared" si="0"/>
        <v>#REF!</v>
      </c>
      <c r="M54" s="188" t="e">
        <f t="shared" si="5"/>
        <v>#REF!</v>
      </c>
      <c r="N54" s="178" t="e">
        <f t="shared" si="1"/>
        <v>#REF!</v>
      </c>
      <c r="O54" s="176" t="e">
        <f t="shared" si="2"/>
        <v>#REF!</v>
      </c>
      <c r="P54" s="178" t="e">
        <f t="shared" si="12"/>
        <v>#REF!</v>
      </c>
      <c r="Q54" s="178" t="e">
        <f t="shared" si="6"/>
        <v>#REF!</v>
      </c>
      <c r="R54" s="179" t="e">
        <f t="shared" si="8"/>
        <v>#REF!</v>
      </c>
      <c r="S54" s="178" t="e">
        <f t="shared" si="9"/>
        <v>#REF!</v>
      </c>
      <c r="T54" s="178" t="e">
        <f t="shared" si="10"/>
        <v>#REF!</v>
      </c>
    </row>
    <row r="55" spans="1:20" ht="16.5" customHeight="1" x14ac:dyDescent="0.3">
      <c r="A55" s="65">
        <v>3</v>
      </c>
      <c r="B55" s="66" t="s">
        <v>49</v>
      </c>
      <c r="D55" s="185">
        <f>VLOOKUP(B55,'WF Need'!$B$7:$AB$64,27, FALSE)</f>
        <v>30732916.195802055</v>
      </c>
      <c r="E55" s="92">
        <f t="shared" si="3"/>
        <v>1.1306809269253376E-2</v>
      </c>
      <c r="F55" s="8" t="e">
        <f>#REF!</f>
        <v>#REF!</v>
      </c>
      <c r="H55" s="191" t="e">
        <f>IF(F55&lt;Floors!$E$4,Floors!$E$4, "-")</f>
        <v>#REF!</v>
      </c>
      <c r="I55" s="65" t="e">
        <f t="shared" si="4"/>
        <v>#REF!</v>
      </c>
      <c r="J55" s="188" t="e">
        <f>IF(I55="Y",VLOOKUP(B55,#REF!,2,FALSE)*1.1,"N/A ")</f>
        <v>#REF!</v>
      </c>
      <c r="K55" s="188" t="e">
        <f t="shared" si="0"/>
        <v>#REF!</v>
      </c>
      <c r="M55" s="188" t="e">
        <f t="shared" si="5"/>
        <v>#REF!</v>
      </c>
      <c r="N55" s="178" t="e">
        <f t="shared" si="1"/>
        <v>#REF!</v>
      </c>
      <c r="O55" s="176" t="e">
        <f t="shared" si="2"/>
        <v>#REF!</v>
      </c>
      <c r="P55" s="178" t="e">
        <f>IF(M55="n/a",(IF(AND(H55=750000,(F55&gt;750000)), H55-F55, 0)),M55-F55)</f>
        <v>#REF!</v>
      </c>
      <c r="Q55" s="178" t="e">
        <f t="shared" si="6"/>
        <v>#REF!</v>
      </c>
      <c r="R55" s="179" t="e">
        <f t="shared" si="8"/>
        <v>#REF!</v>
      </c>
      <c r="S55" s="178" t="e">
        <f t="shared" si="9"/>
        <v>#REF!</v>
      </c>
      <c r="T55" s="178" t="e">
        <f t="shared" si="10"/>
        <v>#REF!</v>
      </c>
    </row>
    <row r="56" spans="1:20" ht="16.5" customHeight="1" x14ac:dyDescent="0.3">
      <c r="A56" s="65">
        <v>3</v>
      </c>
      <c r="B56" s="66" t="s">
        <v>50</v>
      </c>
      <c r="D56" s="185">
        <f>VLOOKUP(B56,'WF Need'!$B$7:$AB$64,27, FALSE)</f>
        <v>37054819.575287297</v>
      </c>
      <c r="E56" s="92">
        <f t="shared" si="3"/>
        <v>1.363267236909978E-2</v>
      </c>
      <c r="F56" s="8" t="e">
        <f>#REF!</f>
        <v>#REF!</v>
      </c>
      <c r="H56" s="191" t="e">
        <f>IF(F56&lt;Floors!$E$4,Floors!$E$4, "-")</f>
        <v>#REF!</v>
      </c>
      <c r="I56" s="65" t="e">
        <f t="shared" si="4"/>
        <v>#REF!</v>
      </c>
      <c r="J56" s="188" t="e">
        <f>IF(I56="Y",VLOOKUP(B56,#REF!,2,FALSE)*1.1,"N/A ")</f>
        <v>#REF!</v>
      </c>
      <c r="K56" s="188" t="e">
        <f t="shared" si="0"/>
        <v>#REF!</v>
      </c>
      <c r="M56" s="188" t="e">
        <f t="shared" si="5"/>
        <v>#REF!</v>
      </c>
      <c r="N56" s="178" t="e">
        <f t="shared" si="1"/>
        <v>#REF!</v>
      </c>
      <c r="O56" s="176" t="e">
        <f t="shared" si="2"/>
        <v>#REF!</v>
      </c>
      <c r="P56" s="178" t="e">
        <f>IF(M56="n/a",(IF(AND(H56=750000,(F56&gt;750000)), H56-F56, 0)),M56-F56)</f>
        <v>#REF!</v>
      </c>
      <c r="Q56" s="178" t="e">
        <f t="shared" si="6"/>
        <v>#REF!</v>
      </c>
      <c r="R56" s="179" t="e">
        <f t="shared" si="8"/>
        <v>#REF!</v>
      </c>
      <c r="S56" s="178" t="e">
        <f t="shared" si="9"/>
        <v>#REF!</v>
      </c>
      <c r="T56" s="178" t="e">
        <f t="shared" si="10"/>
        <v>#REF!</v>
      </c>
    </row>
    <row r="57" spans="1:20" ht="16.5" customHeight="1" x14ac:dyDescent="0.3">
      <c r="A57" s="65">
        <v>2</v>
      </c>
      <c r="B57" s="66" t="s">
        <v>36</v>
      </c>
      <c r="D57" s="185">
        <f>VLOOKUP(B57,'WF Need'!$B$7:$AB$64,27, FALSE)</f>
        <v>9485324.8661198877</v>
      </c>
      <c r="E57" s="92">
        <f t="shared" si="3"/>
        <v>3.4897033016597838E-3</v>
      </c>
      <c r="F57" s="8" t="e">
        <f>#REF!</f>
        <v>#REF!</v>
      </c>
      <c r="H57" s="191" t="e">
        <f>IF(F57&lt;Floors!$E$4,Floors!$E$4, "-")</f>
        <v>#REF!</v>
      </c>
      <c r="I57" s="65" t="e">
        <f t="shared" si="4"/>
        <v>#REF!</v>
      </c>
      <c r="J57" s="188" t="e">
        <f>IF(I57="Y",VLOOKUP(B57,#REF!,2,FALSE)*1.1,"N/A ")</f>
        <v>#REF!</v>
      </c>
      <c r="K57" s="188" t="e">
        <f t="shared" si="0"/>
        <v>#REF!</v>
      </c>
      <c r="M57" s="188" t="e">
        <f t="shared" si="5"/>
        <v>#REF!</v>
      </c>
      <c r="N57" s="178" t="e">
        <f t="shared" si="1"/>
        <v>#REF!</v>
      </c>
      <c r="O57" s="176" t="e">
        <f t="shared" si="2"/>
        <v>#REF!</v>
      </c>
      <c r="P57" s="178" t="e">
        <f t="shared" ref="P57:P64" si="13">IF(M57="n/a",(IF(AND(H57=750000,(F57&gt;750000)), H57-F57, 0)),M57-F57)</f>
        <v>#REF!</v>
      </c>
      <c r="Q57" s="178" t="e">
        <f t="shared" si="6"/>
        <v>#REF!</v>
      </c>
      <c r="R57" s="179" t="e">
        <f t="shared" si="8"/>
        <v>#REF!</v>
      </c>
      <c r="S57" s="178" t="e">
        <f t="shared" si="9"/>
        <v>#REF!</v>
      </c>
      <c r="T57" s="178" t="e">
        <f t="shared" si="10"/>
        <v>#REF!</v>
      </c>
    </row>
    <row r="58" spans="1:20" ht="16.5" customHeight="1" x14ac:dyDescent="0.3">
      <c r="A58" s="65">
        <v>2</v>
      </c>
      <c r="B58" s="66" t="s">
        <v>37</v>
      </c>
      <c r="D58" s="185">
        <f>VLOOKUP(B58,'WF Need'!$B$7:$AB$64,27, FALSE)</f>
        <v>6426610.8428692007</v>
      </c>
      <c r="E58" s="92">
        <f t="shared" si="3"/>
        <v>2.3643855527762537E-3</v>
      </c>
      <c r="F58" s="8" t="e">
        <f>#REF!</f>
        <v>#REF!</v>
      </c>
      <c r="H58" s="191" t="e">
        <f>IF(F58&lt;Floors!$E$4,Floors!$E$4, "-")</f>
        <v>#REF!</v>
      </c>
      <c r="I58" s="65" t="e">
        <f t="shared" si="4"/>
        <v>#REF!</v>
      </c>
      <c r="J58" s="188" t="e">
        <f>IF(I58="Y",VLOOKUP(B58,#REF!,2,FALSE)*1.1,"N/A ")</f>
        <v>#REF!</v>
      </c>
      <c r="K58" s="188" t="e">
        <f t="shared" si="0"/>
        <v>#REF!</v>
      </c>
      <c r="M58" s="188" t="e">
        <f t="shared" si="5"/>
        <v>#REF!</v>
      </c>
      <c r="N58" s="178" t="e">
        <f t="shared" si="1"/>
        <v>#REF!</v>
      </c>
      <c r="O58" s="176" t="e">
        <f t="shared" si="2"/>
        <v>#REF!</v>
      </c>
      <c r="P58" s="178" t="e">
        <f t="shared" si="13"/>
        <v>#REF!</v>
      </c>
      <c r="Q58" s="178" t="e">
        <f t="shared" si="6"/>
        <v>#REF!</v>
      </c>
      <c r="R58" s="179" t="e">
        <f t="shared" si="8"/>
        <v>#REF!</v>
      </c>
      <c r="S58" s="178" t="e">
        <f t="shared" si="9"/>
        <v>#REF!</v>
      </c>
      <c r="T58" s="178" t="e">
        <f t="shared" si="10"/>
        <v>#REF!</v>
      </c>
    </row>
    <row r="59" spans="1:20" ht="16.5" customHeight="1" x14ac:dyDescent="0.3">
      <c r="A59" s="65">
        <v>1</v>
      </c>
      <c r="B59" s="66" t="s">
        <v>18</v>
      </c>
      <c r="D59" s="185">
        <f>VLOOKUP(B59,'WF Need'!$B$7:$AB$64,27, FALSE)</f>
        <v>2276992.2682868442</v>
      </c>
      <c r="E59" s="92">
        <f t="shared" si="3"/>
        <v>8.3771800635699684E-4</v>
      </c>
      <c r="F59" s="8" t="e">
        <f>#REF!</f>
        <v>#REF!</v>
      </c>
      <c r="H59" s="191" t="e">
        <f>IF(F59&lt;Floors!$E$4,Floors!$E$4, "-")</f>
        <v>#REF!</v>
      </c>
      <c r="I59" s="65" t="e">
        <f t="shared" si="4"/>
        <v>#REF!</v>
      </c>
      <c r="J59" s="188" t="e">
        <f>IF(I59="Y",VLOOKUP(B59,#REF!,2,FALSE)*1.1,"N/A ")</f>
        <v>#REF!</v>
      </c>
      <c r="K59" s="188" t="e">
        <f t="shared" si="0"/>
        <v>#REF!</v>
      </c>
      <c r="M59" s="188" t="e">
        <f t="shared" si="5"/>
        <v>#REF!</v>
      </c>
      <c r="N59" s="178" t="e">
        <f t="shared" si="1"/>
        <v>#REF!</v>
      </c>
      <c r="O59" s="178" t="e">
        <f t="shared" si="2"/>
        <v>#REF!</v>
      </c>
      <c r="P59" s="178" t="e">
        <f t="shared" si="13"/>
        <v>#REF!</v>
      </c>
      <c r="Q59" s="178" t="e">
        <f t="shared" si="6"/>
        <v>#REF!</v>
      </c>
      <c r="R59" s="179" t="e">
        <f t="shared" si="8"/>
        <v>#REF!</v>
      </c>
      <c r="S59" s="178" t="e">
        <f t="shared" si="9"/>
        <v>#REF!</v>
      </c>
      <c r="T59" s="178" t="e">
        <f t="shared" si="10"/>
        <v>#REF!</v>
      </c>
    </row>
    <row r="60" spans="1:20" ht="16.5" customHeight="1" x14ac:dyDescent="0.3">
      <c r="A60" s="65">
        <v>3</v>
      </c>
      <c r="B60" s="66" t="s">
        <v>51</v>
      </c>
      <c r="D60" s="185">
        <f>VLOOKUP(B60,'WF Need'!$B$7:$AB$64,27, FALSE)</f>
        <v>38548955.095004976</v>
      </c>
      <c r="E60" s="92">
        <f t="shared" si="3"/>
        <v>1.4182373062526725E-2</v>
      </c>
      <c r="F60" s="8" t="e">
        <f>#REF!</f>
        <v>#REF!</v>
      </c>
      <c r="H60" s="191" t="e">
        <f>IF(F60&lt;Floors!$E$4,Floors!$E$4, "-")</f>
        <v>#REF!</v>
      </c>
      <c r="I60" s="65" t="e">
        <f t="shared" si="4"/>
        <v>#REF!</v>
      </c>
      <c r="J60" s="188" t="e">
        <f>IF(I60="Y",VLOOKUP(B60,#REF!,2,FALSE)*1.1,"N/A ")</f>
        <v>#REF!</v>
      </c>
      <c r="K60" s="188" t="e">
        <f t="shared" si="0"/>
        <v>#REF!</v>
      </c>
      <c r="M60" s="188" t="e">
        <f t="shared" si="5"/>
        <v>#REF!</v>
      </c>
      <c r="N60" s="178" t="e">
        <f t="shared" si="1"/>
        <v>#REF!</v>
      </c>
      <c r="O60" s="176" t="e">
        <f t="shared" si="2"/>
        <v>#REF!</v>
      </c>
      <c r="P60" s="178" t="e">
        <f t="shared" si="13"/>
        <v>#REF!</v>
      </c>
      <c r="Q60" s="178" t="e">
        <f t="shared" si="6"/>
        <v>#REF!</v>
      </c>
      <c r="R60" s="179" t="e">
        <f t="shared" si="8"/>
        <v>#REF!</v>
      </c>
      <c r="S60" s="178" t="e">
        <f t="shared" si="9"/>
        <v>#REF!</v>
      </c>
      <c r="T60" s="178" t="e">
        <f t="shared" si="10"/>
        <v>#REF!</v>
      </c>
    </row>
    <row r="61" spans="1:20" ht="16.5" customHeight="1" x14ac:dyDescent="0.3">
      <c r="A61" s="65">
        <v>2</v>
      </c>
      <c r="B61" s="66" t="s">
        <v>38</v>
      </c>
      <c r="D61" s="185">
        <f>VLOOKUP(B61,'WF Need'!$B$7:$AB$64,27, FALSE)</f>
        <v>5085551.8376096394</v>
      </c>
      <c r="E61" s="92">
        <f t="shared" si="3"/>
        <v>1.8710025527810983E-3</v>
      </c>
      <c r="F61" s="8" t="e">
        <f>#REF!</f>
        <v>#REF!</v>
      </c>
      <c r="H61" s="191" t="e">
        <f>IF(F61&lt;Floors!$E$4,Floors!$E$4, "-")</f>
        <v>#REF!</v>
      </c>
      <c r="I61" s="65" t="e">
        <f t="shared" si="4"/>
        <v>#REF!</v>
      </c>
      <c r="J61" s="188" t="e">
        <f>IF(I61="Y",VLOOKUP(B61,#REF!,2,FALSE)*1.1,"N/A ")</f>
        <v>#REF!</v>
      </c>
      <c r="K61" s="188" t="e">
        <f t="shared" si="0"/>
        <v>#REF!</v>
      </c>
      <c r="M61" s="188" t="e">
        <f t="shared" si="5"/>
        <v>#REF!</v>
      </c>
      <c r="N61" s="178" t="e">
        <f t="shared" si="1"/>
        <v>#REF!</v>
      </c>
      <c r="O61" s="176" t="e">
        <f t="shared" si="2"/>
        <v>#REF!</v>
      </c>
      <c r="P61" s="178" t="e">
        <f t="shared" si="13"/>
        <v>#REF!</v>
      </c>
      <c r="Q61" s="178" t="e">
        <f t="shared" si="6"/>
        <v>#REF!</v>
      </c>
      <c r="R61" s="179" t="e">
        <f t="shared" si="8"/>
        <v>#REF!</v>
      </c>
      <c r="S61" s="178" t="e">
        <f t="shared" si="9"/>
        <v>#REF!</v>
      </c>
      <c r="T61" s="178" t="e">
        <f t="shared" si="10"/>
        <v>#REF!</v>
      </c>
    </row>
    <row r="62" spans="1:20" ht="16.5" customHeight="1" x14ac:dyDescent="0.3">
      <c r="A62" s="65">
        <v>3</v>
      </c>
      <c r="B62" s="66" t="s">
        <v>52</v>
      </c>
      <c r="D62" s="185">
        <f>VLOOKUP(B62,'WF Need'!$B$7:$AB$64,27, FALSE)</f>
        <v>46999345.644555099</v>
      </c>
      <c r="E62" s="92">
        <f t="shared" si="3"/>
        <v>1.7291318324529414E-2</v>
      </c>
      <c r="F62" s="8" t="e">
        <f>#REF!</f>
        <v>#REF!</v>
      </c>
      <c r="H62" s="191" t="e">
        <f>IF(F62&lt;Floors!$E$4,Floors!$E$4, "-")</f>
        <v>#REF!</v>
      </c>
      <c r="I62" s="65" t="e">
        <f t="shared" si="4"/>
        <v>#REF!</v>
      </c>
      <c r="J62" s="188" t="e">
        <f>IF(I62="Y",VLOOKUP(B62,#REF!,2,FALSE)*1.1,"N/A ")</f>
        <v>#REF!</v>
      </c>
      <c r="K62" s="188" t="e">
        <f t="shared" si="0"/>
        <v>#REF!</v>
      </c>
      <c r="M62" s="188" t="e">
        <f t="shared" si="5"/>
        <v>#REF!</v>
      </c>
      <c r="N62" s="178" t="e">
        <f t="shared" si="1"/>
        <v>#REF!</v>
      </c>
      <c r="O62" s="176" t="e">
        <f t="shared" si="2"/>
        <v>#REF!</v>
      </c>
      <c r="P62" s="178" t="e">
        <f t="shared" si="13"/>
        <v>#REF!</v>
      </c>
      <c r="Q62" s="178" t="e">
        <f t="shared" si="6"/>
        <v>#REF!</v>
      </c>
      <c r="R62" s="179" t="e">
        <f t="shared" si="8"/>
        <v>#REF!</v>
      </c>
      <c r="S62" s="178" t="e">
        <f t="shared" si="9"/>
        <v>#REF!</v>
      </c>
      <c r="T62" s="178" t="e">
        <f t="shared" si="10"/>
        <v>#REF!</v>
      </c>
    </row>
    <row r="63" spans="1:20" ht="16.5" customHeight="1" x14ac:dyDescent="0.3">
      <c r="A63" s="65">
        <v>2</v>
      </c>
      <c r="B63" s="66" t="s">
        <v>39</v>
      </c>
      <c r="D63" s="185">
        <f>VLOOKUP(B63,'WF Need'!$B$7:$AB$64,27, FALSE)</f>
        <v>17504805.629614118</v>
      </c>
      <c r="E63" s="92">
        <f t="shared" si="3"/>
        <v>6.4401144781839744E-3</v>
      </c>
      <c r="F63" s="8" t="e">
        <f>#REF!</f>
        <v>#REF!</v>
      </c>
      <c r="H63" s="191" t="e">
        <f>IF(F63&lt;Floors!$E$4,Floors!$E$4, "-")</f>
        <v>#REF!</v>
      </c>
      <c r="I63" s="65" t="e">
        <f t="shared" si="4"/>
        <v>#REF!</v>
      </c>
      <c r="J63" s="188" t="e">
        <f>IF(I63="Y",VLOOKUP(B63,#REF!,2,FALSE)*1.1,"N/A ")</f>
        <v>#REF!</v>
      </c>
      <c r="K63" s="188" t="e">
        <f t="shared" si="0"/>
        <v>#REF!</v>
      </c>
      <c r="M63" s="188" t="e">
        <f t="shared" si="5"/>
        <v>#REF!</v>
      </c>
      <c r="N63" s="178" t="e">
        <f t="shared" si="1"/>
        <v>#REF!</v>
      </c>
      <c r="O63" s="176" t="e">
        <f t="shared" si="2"/>
        <v>#REF!</v>
      </c>
      <c r="P63" s="178" t="e">
        <f t="shared" si="13"/>
        <v>#REF!</v>
      </c>
      <c r="Q63" s="178" t="e">
        <f t="shared" si="6"/>
        <v>#REF!</v>
      </c>
      <c r="R63" s="179" t="e">
        <f t="shared" si="8"/>
        <v>#REF!</v>
      </c>
      <c r="S63" s="178" t="e">
        <f t="shared" si="9"/>
        <v>#REF!</v>
      </c>
      <c r="T63" s="178" t="e">
        <f t="shared" si="10"/>
        <v>#REF!</v>
      </c>
    </row>
    <row r="64" spans="1:20" ht="16.5" customHeight="1" x14ac:dyDescent="0.3">
      <c r="A64" s="65">
        <v>2</v>
      </c>
      <c r="B64" s="66" t="s">
        <v>40</v>
      </c>
      <c r="D64" s="185">
        <f>VLOOKUP(B64,'WF Need'!$B$7:$AB$64,27, FALSE)</f>
        <v>7883563.5921813641</v>
      </c>
      <c r="E64" s="92">
        <f t="shared" si="3"/>
        <v>2.9004065000183886E-3</v>
      </c>
      <c r="F64" s="8" t="e">
        <f>#REF!</f>
        <v>#REF!</v>
      </c>
      <c r="H64" s="191" t="e">
        <f>IF(F64&lt;Floors!$E$4,Floors!$E$4, "-")</f>
        <v>#REF!</v>
      </c>
      <c r="I64" s="65" t="e">
        <f t="shared" si="4"/>
        <v>#REF!</v>
      </c>
      <c r="J64" s="188" t="e">
        <f>IF(I64="Y",VLOOKUP(B64,#REF!,2,FALSE)*1.1,"N/A ")</f>
        <v>#REF!</v>
      </c>
      <c r="K64" s="188" t="e">
        <f t="shared" si="0"/>
        <v>#REF!</v>
      </c>
      <c r="M64" s="188" t="e">
        <f t="shared" si="5"/>
        <v>#REF!</v>
      </c>
      <c r="N64" s="178" t="e">
        <f t="shared" si="1"/>
        <v>#REF!</v>
      </c>
      <c r="O64" s="176" t="e">
        <f t="shared" si="2"/>
        <v>#REF!</v>
      </c>
      <c r="P64" s="178" t="e">
        <f t="shared" si="13"/>
        <v>#REF!</v>
      </c>
      <c r="Q64" s="178" t="e">
        <f t="shared" si="6"/>
        <v>#REF!</v>
      </c>
      <c r="R64" s="179" t="e">
        <f t="shared" si="8"/>
        <v>#REF!</v>
      </c>
      <c r="S64" s="178" t="e">
        <f t="shared" si="9"/>
        <v>#REF!</v>
      </c>
      <c r="T64" s="178" t="e">
        <f t="shared" si="10"/>
        <v>#REF!</v>
      </c>
    </row>
    <row r="65" spans="2:22" ht="16.5" customHeight="1" thickBot="1" x14ac:dyDescent="0.35">
      <c r="B65" s="98" t="s">
        <v>62</v>
      </c>
      <c r="D65" s="192">
        <f>SUM(D7:D64)</f>
        <v>2718089203.0587378</v>
      </c>
      <c r="E65" s="186">
        <f>SUM(E7:E64)</f>
        <v>0.99999999999999978</v>
      </c>
      <c r="F65" s="193" t="e">
        <f>SUM(F7:F64)</f>
        <v>#REF!</v>
      </c>
      <c r="H65" s="53"/>
      <c r="I65" s="53"/>
      <c r="J65" s="172"/>
      <c r="K65" s="172"/>
      <c r="M65" s="193" t="e">
        <f t="shared" ref="M65" si="14">SUM(M7:M64)</f>
        <v>#REF!</v>
      </c>
      <c r="N65" s="176"/>
      <c r="O65" s="176"/>
      <c r="P65" s="181" t="e">
        <f t="shared" ref="P65:S65" si="15">SUM(P7:P64)</f>
        <v>#REF!</v>
      </c>
      <c r="Q65" s="181" t="e">
        <f t="shared" si="15"/>
        <v>#REF!</v>
      </c>
      <c r="R65" s="182" t="e">
        <f>SUM(R7:R64)</f>
        <v>#REF!</v>
      </c>
      <c r="S65" s="181" t="e">
        <f t="shared" si="15"/>
        <v>#REF!</v>
      </c>
      <c r="T65" s="181" t="e">
        <f t="shared" ref="T65" si="16">SUM(T7:T64)</f>
        <v>#REF!</v>
      </c>
    </row>
    <row r="66" spans="2:22" ht="15" thickTop="1" x14ac:dyDescent="0.3">
      <c r="D66" s="183"/>
      <c r="F66" s="58"/>
      <c r="H66" s="53"/>
      <c r="I66" s="53"/>
      <c r="N66" s="176"/>
      <c r="O66" s="176"/>
      <c r="P66" s="176"/>
      <c r="Q66" s="176"/>
      <c r="R66" s="176"/>
      <c r="S66" s="176"/>
      <c r="T66" s="176"/>
    </row>
    <row r="67" spans="2:22" ht="15" customHeight="1" x14ac:dyDescent="0.3">
      <c r="B67" s="187" t="s">
        <v>193</v>
      </c>
      <c r="D67" s="184"/>
      <c r="H67" s="53"/>
      <c r="I67" s="53"/>
      <c r="M67" s="84"/>
      <c r="N67" s="176"/>
      <c r="O67" s="176"/>
      <c r="P67" s="318" t="s">
        <v>112</v>
      </c>
      <c r="Q67" s="318"/>
      <c r="R67" s="318"/>
      <c r="S67" s="318"/>
      <c r="T67" s="318"/>
      <c r="U67" s="170"/>
      <c r="V67" s="170"/>
    </row>
    <row r="68" spans="2:22" x14ac:dyDescent="0.3">
      <c r="D68" s="183"/>
      <c r="F68" s="58"/>
      <c r="H68" s="53"/>
      <c r="I68" s="53"/>
      <c r="N68" s="176"/>
      <c r="O68" s="176"/>
      <c r="P68" s="318"/>
      <c r="Q68" s="318"/>
      <c r="R68" s="318"/>
      <c r="S68" s="318"/>
      <c r="T68" s="318"/>
      <c r="U68" s="170"/>
      <c r="V68" s="170"/>
    </row>
    <row r="69" spans="2:22" x14ac:dyDescent="0.3">
      <c r="D69" s="183"/>
      <c r="F69" s="58"/>
      <c r="H69" s="53"/>
      <c r="I69" s="53"/>
      <c r="N69" s="176"/>
      <c r="O69" s="176"/>
      <c r="P69" s="318"/>
      <c r="Q69" s="318"/>
      <c r="R69" s="318"/>
      <c r="S69" s="318"/>
      <c r="T69" s="318"/>
    </row>
    <row r="70" spans="2:22" x14ac:dyDescent="0.3">
      <c r="D70" s="183"/>
      <c r="F70" s="58"/>
      <c r="H70" s="53"/>
      <c r="I70" s="53"/>
      <c r="P70" s="170"/>
      <c r="Q70" s="170"/>
      <c r="R70" s="170"/>
      <c r="S70" s="170"/>
      <c r="T70" s="170"/>
    </row>
    <row r="71" spans="2:22" x14ac:dyDescent="0.3">
      <c r="D71" s="183"/>
      <c r="F71" s="58"/>
      <c r="H71" s="53"/>
      <c r="I71" s="53"/>
    </row>
    <row r="72" spans="2:22" x14ac:dyDescent="0.3">
      <c r="D72" s="183"/>
      <c r="F72" s="58"/>
      <c r="H72" s="53"/>
      <c r="I72" s="53"/>
    </row>
    <row r="73" spans="2:22" x14ac:dyDescent="0.3">
      <c r="D73" s="183"/>
      <c r="F73" s="58"/>
      <c r="H73" s="53"/>
      <c r="I73" s="53"/>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21875" defaultRowHeight="14.4" x14ac:dyDescent="0.3"/>
  <cols>
    <col min="1" max="1" width="29.44140625" style="53" customWidth="1"/>
    <col min="2" max="7" width="16.21875" style="53" customWidth="1"/>
    <col min="8" max="16384" width="9.21875" style="53"/>
  </cols>
  <sheetData>
    <row r="1" spans="1:5" ht="20.100000000000001" customHeight="1" x14ac:dyDescent="0.3">
      <c r="A1" s="164" t="s">
        <v>188</v>
      </c>
    </row>
    <row r="2" spans="1:5" ht="20.100000000000001" customHeight="1" x14ac:dyDescent="0.3">
      <c r="A2" s="174" t="s">
        <v>206</v>
      </c>
    </row>
    <row r="3" spans="1:5" ht="20.100000000000001" customHeight="1" x14ac:dyDescent="0.3"/>
    <row r="4" spans="1:5" x14ac:dyDescent="0.3">
      <c r="A4" s="53" t="s">
        <v>208</v>
      </c>
      <c r="E4" s="171">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B1:P62"/>
  <sheetViews>
    <sheetView workbookViewId="0">
      <selection activeCell="B2" sqref="B2:K3"/>
    </sheetView>
  </sheetViews>
  <sheetFormatPr defaultColWidth="9.21875" defaultRowHeight="15.6" x14ac:dyDescent="0.3"/>
  <cols>
    <col min="1" max="1" width="5.77734375" customWidth="1"/>
    <col min="2" max="2" width="15.44140625" style="19" bestFit="1" customWidth="1"/>
    <col min="3" max="3" width="13.77734375" customWidth="1"/>
    <col min="4" max="4" width="14.5546875" bestFit="1" customWidth="1"/>
    <col min="5" max="5" width="13.21875" bestFit="1" customWidth="1"/>
    <col min="6" max="6" width="13.44140625" bestFit="1" customWidth="1"/>
    <col min="7" max="7" width="5.77734375" customWidth="1"/>
    <col min="8" max="8" width="20.77734375" bestFit="1" customWidth="1"/>
    <col min="9" max="9" width="14.5546875" bestFit="1" customWidth="1"/>
    <col min="10" max="10" width="14.21875" bestFit="1" customWidth="1"/>
    <col min="11" max="11" width="13.44140625" bestFit="1" customWidth="1"/>
    <col min="12" max="12" width="5.77734375" customWidth="1"/>
    <col min="13" max="13" width="13.44140625" bestFit="1" customWidth="1"/>
    <col min="14" max="14" width="12.5546875" customWidth="1"/>
    <col min="15" max="15" width="18.21875" bestFit="1" customWidth="1"/>
    <col min="16" max="16" width="10.21875" customWidth="1"/>
  </cols>
  <sheetData>
    <row r="1" spans="2:16" ht="18.600000000000001" thickBot="1" x14ac:dyDescent="0.35">
      <c r="B1" s="16"/>
    </row>
    <row r="2" spans="2:16" s="4" customFormat="1" ht="61.5" customHeight="1" x14ac:dyDescent="0.3">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4.4" x14ac:dyDescent="0.3">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4.4" x14ac:dyDescent="0.3">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4.4" x14ac:dyDescent="0.3">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4.4" x14ac:dyDescent="0.3">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4.4" x14ac:dyDescent="0.3">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4.4" x14ac:dyDescent="0.3">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4.4" x14ac:dyDescent="0.3">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4.4" x14ac:dyDescent="0.3">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4.4" x14ac:dyDescent="0.3">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4.4" x14ac:dyDescent="0.3">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4.4" x14ac:dyDescent="0.3">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4.4" x14ac:dyDescent="0.3">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4.4" x14ac:dyDescent="0.3">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4.4" x14ac:dyDescent="0.3">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4.4" x14ac:dyDescent="0.3">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4.4" x14ac:dyDescent="0.3">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4.4" x14ac:dyDescent="0.3">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4.4" x14ac:dyDescent="0.3">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4.4" x14ac:dyDescent="0.3">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4.4" x14ac:dyDescent="0.3">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4.4" x14ac:dyDescent="0.3">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4.4" x14ac:dyDescent="0.3">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4.4" x14ac:dyDescent="0.3">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4.4" x14ac:dyDescent="0.3">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4.4" x14ac:dyDescent="0.3">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4.4" x14ac:dyDescent="0.3">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4.4" x14ac:dyDescent="0.3">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4.4" x14ac:dyDescent="0.3">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4.4" x14ac:dyDescent="0.3">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4.4" x14ac:dyDescent="0.3">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4.4" x14ac:dyDescent="0.3">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4.4" x14ac:dyDescent="0.3">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4.4" x14ac:dyDescent="0.3">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4.4" x14ac:dyDescent="0.3">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4.4" x14ac:dyDescent="0.3">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4.4" x14ac:dyDescent="0.3">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4.4" x14ac:dyDescent="0.3">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4.4" x14ac:dyDescent="0.3">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4.4" x14ac:dyDescent="0.3">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4.4" x14ac:dyDescent="0.3">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4.4" x14ac:dyDescent="0.3">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4.4" x14ac:dyDescent="0.3">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4.4" x14ac:dyDescent="0.3">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4.4" x14ac:dyDescent="0.3">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4.4" x14ac:dyDescent="0.3">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4.4" x14ac:dyDescent="0.3">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4.4" x14ac:dyDescent="0.3">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4.4" x14ac:dyDescent="0.3">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4.4" x14ac:dyDescent="0.3">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4.4" x14ac:dyDescent="0.3">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4.4" x14ac:dyDescent="0.3">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4.4" x14ac:dyDescent="0.3">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4.4" x14ac:dyDescent="0.3">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4.4" x14ac:dyDescent="0.3">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4.4" x14ac:dyDescent="0.3">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4.4" x14ac:dyDescent="0.3">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4.4" x14ac:dyDescent="0.3">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ht="15" thickBot="1" x14ac:dyDescent="0.35">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4.4" x14ac:dyDescent="0.3">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4.4" x14ac:dyDescent="0.3">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4"/>
  <sheetViews>
    <sheetView tabSelected="1" view="pageBreakPreview" zoomScale="99" zoomScaleNormal="100" zoomScaleSheetLayoutView="99" workbookViewId="0">
      <pane xSplit="3" ySplit="6" topLeftCell="D7" activePane="bottomRight" state="frozen"/>
      <selection pane="topRight" activeCell="D1" sqref="D1"/>
      <selection pane="bottomLeft" activeCell="A7" sqref="A7"/>
      <selection pane="bottomRight" activeCell="H8" sqref="H8"/>
    </sheetView>
  </sheetViews>
  <sheetFormatPr defaultColWidth="9.21875" defaultRowHeight="15.6" x14ac:dyDescent="0.3"/>
  <cols>
    <col min="1" max="1" width="7.21875" style="44" customWidth="1"/>
    <col min="2" max="2" width="14.77734375" style="53" bestFit="1" customWidth="1"/>
    <col min="3" max="3" width="1.77734375" style="53" customWidth="1"/>
    <col min="4" max="4" width="12.21875" style="53" customWidth="1"/>
    <col min="5" max="5" width="13.6640625" style="53" customWidth="1"/>
    <col min="6" max="6" width="9.21875" style="53" customWidth="1"/>
    <col min="7" max="7" width="1.77734375" style="53" customWidth="1"/>
    <col min="8" max="8" width="15.77734375" style="53" bestFit="1" customWidth="1"/>
    <col min="9" max="9" width="16.77734375" style="53" bestFit="1" customWidth="1"/>
    <col min="10" max="10" width="16.21875" style="53" bestFit="1" customWidth="1"/>
    <col min="11" max="11" width="13.21875" style="53" bestFit="1" customWidth="1"/>
    <col min="12" max="12" width="15" style="53" bestFit="1" customWidth="1"/>
    <col min="13" max="13" width="1.77734375" style="53" customWidth="1"/>
    <col min="14" max="14" width="10.77734375" style="53" customWidth="1"/>
    <col min="15" max="15" width="19.77734375" style="53" bestFit="1" customWidth="1"/>
    <col min="16" max="16" width="1.77734375" style="53" customWidth="1"/>
    <col min="17" max="18" width="12.21875" style="53" bestFit="1" customWidth="1"/>
    <col min="19" max="19" width="15" style="53" bestFit="1" customWidth="1"/>
    <col min="20" max="20" width="13.5546875" style="53" customWidth="1"/>
    <col min="21" max="21" width="17.21875" style="53" bestFit="1" customWidth="1"/>
    <col min="22" max="22" width="17.44140625" style="53" bestFit="1" customWidth="1"/>
    <col min="23" max="23" width="17.44140625" style="62" bestFit="1" customWidth="1"/>
    <col min="24" max="24" width="1.77734375" style="53" customWidth="1"/>
    <col min="25" max="25" width="17.44140625" style="53" bestFit="1" customWidth="1"/>
    <col min="26" max="26" width="1.77734375" style="53" customWidth="1"/>
    <col min="27" max="27" width="18.21875" style="53" bestFit="1" customWidth="1"/>
    <col min="28" max="28" width="20.21875" style="63" bestFit="1" customWidth="1"/>
    <col min="29" max="29" width="15.21875" style="53" customWidth="1"/>
    <col min="30" max="30" width="17.44140625" style="55" customWidth="1"/>
    <col min="31" max="16384" width="9.21875" style="53"/>
  </cols>
  <sheetData>
    <row r="1" spans="1:30" s="44" customFormat="1" ht="20.100000000000001" customHeight="1" x14ac:dyDescent="0.3">
      <c r="A1" s="46" t="s">
        <v>219</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00000000000001" customHeight="1" x14ac:dyDescent="0.3">
      <c r="A2" s="49" t="s">
        <v>249</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00000000000001" customHeight="1" x14ac:dyDescent="0.3">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 customHeight="1" x14ac:dyDescent="0.3">
      <c r="A4" s="64"/>
      <c r="B4" s="64"/>
      <c r="C4" s="81"/>
      <c r="D4" s="276" t="s">
        <v>220</v>
      </c>
      <c r="E4" s="277"/>
      <c r="F4" s="277"/>
      <c r="G4" s="81"/>
      <c r="H4" s="285" t="s">
        <v>241</v>
      </c>
      <c r="I4" s="285"/>
      <c r="J4" s="285"/>
      <c r="K4" s="285"/>
      <c r="L4" s="285"/>
      <c r="M4" s="81"/>
      <c r="N4" s="278" t="s">
        <v>150</v>
      </c>
      <c r="O4" s="278"/>
      <c r="P4" s="81"/>
      <c r="Q4" s="281" t="s">
        <v>225</v>
      </c>
      <c r="R4" s="282"/>
      <c r="S4" s="282"/>
      <c r="T4" s="283"/>
      <c r="U4" s="284" t="s">
        <v>152</v>
      </c>
      <c r="V4" s="284"/>
      <c r="W4" s="284"/>
      <c r="X4" s="81"/>
      <c r="Y4" s="275" t="s">
        <v>227</v>
      </c>
      <c r="Z4" s="81"/>
      <c r="AA4" s="43"/>
      <c r="AB4" s="43"/>
      <c r="AC4" s="43"/>
      <c r="AD4" s="43"/>
    </row>
    <row r="5" spans="1:30" s="44" customFormat="1" ht="96.6" x14ac:dyDescent="0.3">
      <c r="A5" s="279" t="s">
        <v>68</v>
      </c>
      <c r="B5" s="279" t="s">
        <v>63</v>
      </c>
      <c r="C5" s="81"/>
      <c r="D5" s="42" t="s">
        <v>161</v>
      </c>
      <c r="E5" s="42" t="s">
        <v>162</v>
      </c>
      <c r="F5" s="42" t="s">
        <v>141</v>
      </c>
      <c r="G5" s="81"/>
      <c r="H5" s="74" t="s">
        <v>142</v>
      </c>
      <c r="I5" s="74" t="s">
        <v>239</v>
      </c>
      <c r="J5" s="75" t="s">
        <v>240</v>
      </c>
      <c r="K5" s="75" t="s">
        <v>222</v>
      </c>
      <c r="L5" s="74" t="s">
        <v>143</v>
      </c>
      <c r="M5" s="81"/>
      <c r="N5" s="73" t="s">
        <v>223</v>
      </c>
      <c r="O5" s="73" t="s">
        <v>151</v>
      </c>
      <c r="P5" s="81"/>
      <c r="Q5" s="95" t="s">
        <v>153</v>
      </c>
      <c r="R5" s="96" t="s">
        <v>154</v>
      </c>
      <c r="S5" s="95" t="s">
        <v>155</v>
      </c>
      <c r="T5" s="96" t="s">
        <v>156</v>
      </c>
      <c r="U5" s="97" t="s">
        <v>157</v>
      </c>
      <c r="V5" s="97" t="s">
        <v>158</v>
      </c>
      <c r="W5" s="97" t="s">
        <v>67</v>
      </c>
      <c r="X5" s="81"/>
      <c r="Y5" s="275"/>
      <c r="Z5" s="81"/>
      <c r="AA5" s="258" t="s">
        <v>228</v>
      </c>
      <c r="AB5" s="94" t="s">
        <v>210</v>
      </c>
      <c r="AC5" s="94" t="s">
        <v>211</v>
      </c>
      <c r="AD5" s="45"/>
    </row>
    <row r="6" spans="1:30" s="80" customFormat="1" ht="15" customHeight="1" x14ac:dyDescent="0.3">
      <c r="A6" s="280"/>
      <c r="B6" s="280"/>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00000000000001" customHeight="1" x14ac:dyDescent="0.3">
      <c r="A7" s="65">
        <v>4</v>
      </c>
      <c r="B7" s="66" t="s">
        <v>53</v>
      </c>
      <c r="C7" s="81"/>
      <c r="D7" s="67">
        <f>RAS!M7</f>
        <v>427</v>
      </c>
      <c r="E7" s="67">
        <f>RAS!Q7</f>
        <v>79</v>
      </c>
      <c r="F7" s="68">
        <f t="shared" ref="F7:F38" si="0">SUM(D7:E7)</f>
        <v>506</v>
      </c>
      <c r="G7" s="81"/>
      <c r="H7" s="70">
        <f>(F7-1)*'AVG RAS salary'!$F$66</f>
        <v>38211661.946706042</v>
      </c>
      <c r="I7" s="70">
        <f>(F7-1)*(VLOOKUP(B7,'FTE Allotment Factor'!$B$6:$D$63,3))</f>
        <v>57282527.319437012</v>
      </c>
      <c r="J7" s="70">
        <f>(F7-1)*(VLOOKUP(B7,'FTE Allotment Factor'!$B$6:$H$63,7))</f>
        <v>57282527.319437012</v>
      </c>
      <c r="K7" s="70">
        <f>VLOOKUP(A7,'CEO Salary'!$G$7:$H$13,2)</f>
        <v>311352.57949999999</v>
      </c>
      <c r="L7" s="70">
        <f>IF(N7&lt;&gt;0,N7*K7,K7)</f>
        <v>466743.96591439983</v>
      </c>
      <c r="M7" s="81"/>
      <c r="N7" s="85">
        <f>VLOOKUP(B7,BLS!$B$5:$I$64,8, FALSE)</f>
        <v>1.4990849494934082</v>
      </c>
      <c r="O7" s="89">
        <f>J7+L7</f>
        <v>57749271.285351411</v>
      </c>
      <c r="P7" s="81"/>
      <c r="Q7" s="87">
        <f>VLOOKUP(B7,'Program 10'!$A$7:$G$64,6)</f>
        <v>0.31912497626351027</v>
      </c>
      <c r="R7" s="70">
        <f>VLOOKUP(B7,'Program 10'!$A$7:$G$64,7)</f>
        <v>19840.688291534356</v>
      </c>
      <c r="S7" s="87">
        <f>VLOOKUP(B7,'Program 90'!$A$7:$G$64,6)</f>
        <v>0.31806410073481917</v>
      </c>
      <c r="T7" s="70">
        <f>VLOOKUP(B7,'Program 90'!$A$7:$G$64,7)</f>
        <v>21599.915491158496</v>
      </c>
      <c r="U7" s="227">
        <f>(D7*VLOOKUP(B7,'FTE Allotment Factor'!$B$6:$H$63,7,FALSE)*Q7)+(D7*R7)</f>
        <v>23928769.48082611</v>
      </c>
      <c r="V7" s="227">
        <f>((((E7-1)*VLOOKUP(B7,'FTE Allotment Factor'!$B$6:$H$63,7,FALSE))+(K7*N7))*S7)+(T7*E7)</f>
        <v>4668951.2138798377</v>
      </c>
      <c r="W7" s="228">
        <f>SUM(U7:V7)</f>
        <v>28597720.694705948</v>
      </c>
      <c r="X7" s="81"/>
      <c r="Y7" s="228">
        <f>F7*(VLOOKUP(A7, 'OE&amp;E by Cluster'!$B$6:$C$9,2,FALSE))</f>
        <v>10450792.802073378</v>
      </c>
      <c r="Z7" s="81"/>
      <c r="AA7" s="70">
        <f>'AB1058'!E5</f>
        <v>2152607.7999999998</v>
      </c>
      <c r="AB7" s="89">
        <f>(O7+W7+Y7)-AA7</f>
        <v>94645176.982130736</v>
      </c>
      <c r="AC7" s="91">
        <f t="shared" ref="AC7:AC38" si="1">AB7/$AB$65</f>
        <v>3.4820482298970917E-2</v>
      </c>
      <c r="AD7" s="252">
        <f>AB7/F7</f>
        <v>187045.80431251135</v>
      </c>
    </row>
    <row r="8" spans="1:30" ht="20.100000000000001" customHeight="1" x14ac:dyDescent="0.3">
      <c r="A8" s="65">
        <v>1</v>
      </c>
      <c r="B8" s="66" t="s">
        <v>4</v>
      </c>
      <c r="D8" s="67">
        <f>RAS!M8</f>
        <v>2</v>
      </c>
      <c r="E8" s="67">
        <f>RAS!Q8</f>
        <v>1</v>
      </c>
      <c r="F8" s="68">
        <f t="shared" si="0"/>
        <v>3</v>
      </c>
      <c r="H8" s="71">
        <f>(F8-1)*'AVG RAS salary'!$F$66</f>
        <v>151333.31464041997</v>
      </c>
      <c r="I8" s="71">
        <f>(F8-1)*(VLOOKUP(B8,'FTE Allotment Factor'!$B$6:$D$63,3))</f>
        <v>115529.98391281707</v>
      </c>
      <c r="J8" s="71">
        <f>(F8-1)*(VLOOKUP(B8,'FTE Allotment Factor'!$B$6:$H$63,7))</f>
        <v>116116.19113089837</v>
      </c>
      <c r="K8" s="249">
        <f>VLOOKUP(A8,'CEO Salary'!$G$7:$H$13,2)</f>
        <v>143214.08755555557</v>
      </c>
      <c r="L8" s="249">
        <f>IF(N8&lt;&gt;0,N8*K8,K8)</f>
        <v>109331.6515976379</v>
      </c>
      <c r="N8" s="85">
        <f>VLOOKUP(B8,BLS!$B$5:$I$64,8, FALSE)</f>
        <v>0.76341408491134644</v>
      </c>
      <c r="O8" s="90">
        <f t="shared" ref="O8:O9" si="2">J8+L8</f>
        <v>225447.84272853628</v>
      </c>
      <c r="Q8" s="87">
        <f>VLOOKUP(B8,'Program 10'!$A$7:$G$64,6)</f>
        <v>0.49025999999999997</v>
      </c>
      <c r="R8" s="8">
        <f>VLOOKUP(B8,'Program 10'!$A$7:$G$64,7)</f>
        <v>27087.247368421056</v>
      </c>
      <c r="S8" s="87">
        <f>VLOOKUP(B8,'Program 90'!$A$7:$G$64,6)</f>
        <v>0.49026000000000003</v>
      </c>
      <c r="T8" s="8">
        <f>VLOOKUP(B8,'Program 90'!$A$7:$G$64,7)</f>
        <v>36189.500000000007</v>
      </c>
      <c r="U8" s="72">
        <f>(D8*VLOOKUP(B8,'FTE Allotment Factor'!$B$7:$H$64,7,FALSE)*Q8)+(D8*R8)</f>
        <v>111101.61860067635</v>
      </c>
      <c r="V8" s="72">
        <f>((((E8-1)*VLOOKUP(B8,'FTE Allotment Factor'!$B$7:$H$64,7,FALSE))+(K8*N8))*S8)+(T8*E8)</f>
        <v>89790.435512257973</v>
      </c>
      <c r="W8" s="90">
        <f t="shared" ref="W8:W38" si="3">SUM(U8:V8)</f>
        <v>200892.05411293433</v>
      </c>
      <c r="Y8" s="90">
        <f>F8*(VLOOKUP(A8, 'OE&amp;E by Cluster'!$B$6:$C$9,2,FALSE))</f>
        <v>123341.47237238797</v>
      </c>
      <c r="AA8" s="249">
        <f>'AB1058'!E6</f>
        <v>0</v>
      </c>
      <c r="AB8" s="90">
        <f t="shared" ref="AB8:AB38" si="4">(O8+W8+Y8)-AA8</f>
        <v>549681.36921385862</v>
      </c>
      <c r="AC8" s="92">
        <f t="shared" si="1"/>
        <v>2.0223080559508041E-4</v>
      </c>
      <c r="AD8" s="55">
        <f t="shared" ref="AD8:AD63" si="5">AB8/F8</f>
        <v>183227.12307128622</v>
      </c>
    </row>
    <row r="9" spans="1:30" ht="20.100000000000001" customHeight="1" x14ac:dyDescent="0.3">
      <c r="A9" s="65">
        <v>1</v>
      </c>
      <c r="B9" s="66" t="s">
        <v>5</v>
      </c>
      <c r="D9" s="67">
        <f>RAS!M9</f>
        <v>23</v>
      </c>
      <c r="E9" s="67">
        <f>RAS!Q9</f>
        <v>8</v>
      </c>
      <c r="F9" s="68">
        <f t="shared" si="0"/>
        <v>31</v>
      </c>
      <c r="H9" s="71">
        <f>(F9-1)*'AVG RAS salary'!$F$66</f>
        <v>2269999.7196062994</v>
      </c>
      <c r="I9" s="71">
        <f>(F9-1)*(VLOOKUP(B9,'FTE Allotment Factor'!$B$6:$D$63,3))</f>
        <v>2200109.6052295472</v>
      </c>
      <c r="J9" s="71">
        <f>(F9-1)*(VLOOKUP(B9,'FTE Allotment Factor'!$B$6:$H$63,7))</f>
        <v>2200109.6052295472</v>
      </c>
      <c r="K9" s="249">
        <f>VLOOKUP(A9,'CEO Salary'!$G$7:$H$13,2)</f>
        <v>143214.08755555557</v>
      </c>
      <c r="L9" s="249">
        <f t="shared" ref="L9:L51" si="6">IF(N9&lt;&gt;0,N9*K9,K9)</f>
        <v>138804.72623574187</v>
      </c>
      <c r="N9" s="85">
        <f>VLOOKUP(B9,BLS!$B$5:$I$64,8, FALSE)</f>
        <v>0.9692113995552063</v>
      </c>
      <c r="O9" s="90">
        <f t="shared" si="2"/>
        <v>2338914.331465289</v>
      </c>
      <c r="Q9" s="87">
        <f>VLOOKUP(B9,'Program 10'!$A$7:$G$64,6)</f>
        <v>0.37419999999999992</v>
      </c>
      <c r="R9" s="8">
        <f>VLOOKUP(B9,'Program 10'!$A$7:$G$64,7)</f>
        <v>10501.952967032972</v>
      </c>
      <c r="S9" s="87">
        <f>VLOOKUP(B9,'Program 90'!$A$7:$G$64,6)</f>
        <v>0.37420000000000003</v>
      </c>
      <c r="T9" s="8">
        <f>VLOOKUP(B9,'Program 90'!$A$7:$G$64,7)</f>
        <v>11762.50762886598</v>
      </c>
      <c r="U9" s="72">
        <f>(D9*VLOOKUP(B9,'FTE Allotment Factor'!$B$7:$H$64,7,FALSE)*Q9)+(D9*R9)</f>
        <v>872727.02918737906</v>
      </c>
      <c r="V9" s="72">
        <f>((((E9-1)*VLOOKUP(B9,'FTE Allotment Factor'!$B$7:$H$64,7,FALSE))+(K9*N9))*S9)+(T9*E9)</f>
        <v>338139.69291961833</v>
      </c>
      <c r="W9" s="90">
        <f t="shared" si="3"/>
        <v>1210866.7221069974</v>
      </c>
      <c r="Y9" s="90">
        <f>F9*(VLOOKUP(A9, 'OE&amp;E by Cluster'!$B$6:$C$9,2,FALSE))</f>
        <v>1274528.547848009</v>
      </c>
      <c r="AA9" s="249">
        <f>'AB1058'!E7</f>
        <v>139606.44</v>
      </c>
      <c r="AB9" s="90">
        <f t="shared" si="4"/>
        <v>4684703.161420295</v>
      </c>
      <c r="AC9" s="91">
        <f t="shared" si="1"/>
        <v>1.7235281153203045E-3</v>
      </c>
      <c r="AD9" s="55">
        <f t="shared" si="5"/>
        <v>151119.45682000951</v>
      </c>
    </row>
    <row r="10" spans="1:30" ht="20.100000000000001" customHeight="1" x14ac:dyDescent="0.3">
      <c r="A10" s="65">
        <v>2</v>
      </c>
      <c r="B10" s="66" t="s">
        <v>19</v>
      </c>
      <c r="D10" s="67">
        <f>RAS!M10</f>
        <v>98</v>
      </c>
      <c r="E10" s="67">
        <f>RAS!Q10</f>
        <v>22</v>
      </c>
      <c r="F10" s="68">
        <f t="shared" si="0"/>
        <v>120</v>
      </c>
      <c r="H10" s="71">
        <f>(F10-1)*'AVG RAS salary'!$F$66</f>
        <v>9004332.2211049888</v>
      </c>
      <c r="I10" s="71">
        <f>(F10-1)*(VLOOKUP(B10,'FTE Allotment Factor'!$B$6:$D$63,3))</f>
        <v>7932791.8397292076</v>
      </c>
      <c r="J10" s="71">
        <f>(F10-1)*(VLOOKUP(B10,'FTE Allotment Factor'!$B$6:$H$63,7))</f>
        <v>7932791.8397292076</v>
      </c>
      <c r="K10" s="249">
        <f>VLOOKUP(A10,'CEO Salary'!$G$7:$H$13,2)</f>
        <v>207427.72710829088</v>
      </c>
      <c r="L10" s="249">
        <f t="shared" si="6"/>
        <v>182743.25519458653</v>
      </c>
      <c r="N10" s="85">
        <f>VLOOKUP(B10,BLS!$B$5:$I$64,8, FALSE)</f>
        <v>0.88099724054336548</v>
      </c>
      <c r="O10" s="90">
        <f>J10+L10</f>
        <v>8115535.0949237943</v>
      </c>
      <c r="Q10" s="87">
        <f>VLOOKUP(B10,'Program 10'!$A$7:$G$64,6)</f>
        <v>0.32446348702203764</v>
      </c>
      <c r="R10" s="8">
        <f>VLOOKUP(B10,'Program 10'!$A$7:$G$64,7)</f>
        <v>13433.636910278312</v>
      </c>
      <c r="S10" s="87">
        <f>VLOOKUP(B10,'Program 90'!$A$7:$G$64,6)</f>
        <v>0.32852553201640927</v>
      </c>
      <c r="T10" s="8">
        <f>VLOOKUP(B10,'Program 90'!$A$7:$G$64,7)</f>
        <v>16317.209777718661</v>
      </c>
      <c r="U10" s="72">
        <f>(D10*VLOOKUP(B10,'FTE Allotment Factor'!$B$7:$H$64,7,FALSE)*Q10)+(D10*R10)</f>
        <v>3436179.842497807</v>
      </c>
      <c r="V10" s="72">
        <f>((((E10-1)*VLOOKUP(B10,'FTE Allotment Factor'!$B$7:$H$64,7,FALSE))+(K10*N10))*S10)+(T10*E10)</f>
        <v>878918.791925458</v>
      </c>
      <c r="W10" s="90">
        <f t="shared" si="3"/>
        <v>4315098.6344232652</v>
      </c>
      <c r="Y10" s="90">
        <f>F10*(VLOOKUP(A10, 'OE&amp;E by Cluster'!$B$6:$C$9,2,FALSE))</f>
        <v>2478448.8858672045</v>
      </c>
      <c r="AA10" s="249">
        <f>'AB1058'!E8</f>
        <v>219132.02000000002</v>
      </c>
      <c r="AB10" s="90">
        <f t="shared" si="4"/>
        <v>14689950.595214264</v>
      </c>
      <c r="AC10" s="91">
        <f t="shared" si="1"/>
        <v>5.404513795457218E-3</v>
      </c>
      <c r="AD10" s="55">
        <f t="shared" si="5"/>
        <v>122416.25496011887</v>
      </c>
    </row>
    <row r="11" spans="1:30" ht="20.100000000000001" customHeight="1" x14ac:dyDescent="0.3">
      <c r="A11" s="65">
        <v>1</v>
      </c>
      <c r="B11" s="66" t="s">
        <v>6</v>
      </c>
      <c r="C11" s="83"/>
      <c r="D11" s="67">
        <f>RAS!M11</f>
        <v>20</v>
      </c>
      <c r="E11" s="67">
        <f>RAS!Q11</f>
        <v>7</v>
      </c>
      <c r="F11" s="68">
        <f t="shared" si="0"/>
        <v>27</v>
      </c>
      <c r="G11" s="83"/>
      <c r="H11" s="71">
        <f>(F11-1)*'AVG RAS salary'!$F$66</f>
        <v>1967333.0903254596</v>
      </c>
      <c r="I11" s="71">
        <f>(F11-1)*(VLOOKUP(B11,'FTE Allotment Factor'!$B$6:$D$63,3))</f>
        <v>1651789.2144275079</v>
      </c>
      <c r="J11" s="71">
        <f>(F11-1)*(VLOOKUP(B11,'FTE Allotment Factor'!$B$6:$H$63,7))</f>
        <v>1651789.2144275079</v>
      </c>
      <c r="K11" s="249">
        <f>VLOOKUP(A11,'CEO Salary'!$G$7:$H$13,2)</f>
        <v>143214.08755555557</v>
      </c>
      <c r="L11" s="249">
        <f t="shared" si="6"/>
        <v>120243.73825746457</v>
      </c>
      <c r="M11" s="83"/>
      <c r="N11" s="85">
        <f>VLOOKUP(B11,BLS!$B$5:$I$64,8, FALSE)</f>
        <v>0.83960831165313721</v>
      </c>
      <c r="O11" s="90">
        <f>J11+L11</f>
        <v>1772032.9526849724</v>
      </c>
      <c r="P11" s="83"/>
      <c r="Q11" s="87">
        <f>VLOOKUP(B11,'Program 10'!$A$7:$G$64,6)</f>
        <v>0.27072328697591036</v>
      </c>
      <c r="R11" s="8">
        <f>VLOOKUP(B11,'Program 10'!$A$7:$G$64,7)</f>
        <v>19095.812609819135</v>
      </c>
      <c r="S11" s="87">
        <f>VLOOKUP(B11,'Program 90'!$A$7:$G$64,6)</f>
        <v>0.27551999999999999</v>
      </c>
      <c r="T11" s="8">
        <f>VLOOKUP(B11,'Program 90'!$A$7:$G$64,7)</f>
        <v>20512.379999999997</v>
      </c>
      <c r="U11" s="72">
        <f>(D11*VLOOKUP(B11,'FTE Allotment Factor'!$B$7:$H$64,7,FALSE)*Q11)+(D11*R11)</f>
        <v>725899.17952036113</v>
      </c>
      <c r="V11" s="72">
        <f>((((E11-1)*VLOOKUP(B11,'FTE Allotment Factor'!$B$7:$H$64,7,FALSE))+(K11*N11))*S11)+(T11*E11)</f>
        <v>281739.51423217362</v>
      </c>
      <c r="W11" s="90">
        <f t="shared" si="3"/>
        <v>1007638.6937525347</v>
      </c>
      <c r="X11" s="83"/>
      <c r="Y11" s="90">
        <f>F11*(VLOOKUP(A11, 'OE&amp;E by Cluster'!$B$6:$C$9,2,FALSE))</f>
        <v>1110073.2513514918</v>
      </c>
      <c r="Z11" s="83"/>
      <c r="AA11" s="249">
        <f>'AB1058'!E9</f>
        <v>122174.95999999999</v>
      </c>
      <c r="AB11" s="90">
        <f t="shared" si="4"/>
        <v>3767569.9377889987</v>
      </c>
      <c r="AC11" s="91">
        <f t="shared" si="1"/>
        <v>1.3861097470786656E-3</v>
      </c>
      <c r="AD11" s="55">
        <f t="shared" si="5"/>
        <v>139539.62732551846</v>
      </c>
    </row>
    <row r="12" spans="1:30" ht="20.100000000000001" customHeight="1" x14ac:dyDescent="0.3">
      <c r="A12" s="65">
        <v>1</v>
      </c>
      <c r="B12" s="66" t="s">
        <v>7</v>
      </c>
      <c r="D12" s="67">
        <f>RAS!M12</f>
        <v>13</v>
      </c>
      <c r="E12" s="67">
        <f>RAS!Q12</f>
        <v>5</v>
      </c>
      <c r="F12" s="68">
        <f t="shared" si="0"/>
        <v>18</v>
      </c>
      <c r="H12" s="71">
        <f>(F12-1)*'AVG RAS salary'!$F$66</f>
        <v>1286333.1744435697</v>
      </c>
      <c r="I12" s="71">
        <f>(F12-1)*(VLOOKUP(B12,'FTE Allotment Factor'!$B$6:$D$63,3))</f>
        <v>940994.15770774125</v>
      </c>
      <c r="J12" s="71">
        <f>(F12-1)*(VLOOKUP(B12,'FTE Allotment Factor'!$B$6:$H$63,7))</f>
        <v>986987.62461263617</v>
      </c>
      <c r="K12" s="249">
        <f>VLOOKUP(A12,'CEO Salary'!$G$7:$H$13,2)</f>
        <v>143214.08755555557</v>
      </c>
      <c r="L12" s="249">
        <f t="shared" si="6"/>
        <v>104765.71884225681</v>
      </c>
      <c r="N12" s="85">
        <f>VLOOKUP(B12,BLS!$B$5:$I$64,8, FALSE)</f>
        <v>0.73153221607208252</v>
      </c>
      <c r="O12" s="90">
        <f t="shared" ref="O12:O63" si="7">J12+L12</f>
        <v>1091753.343454893</v>
      </c>
      <c r="Q12" s="87">
        <f>VLOOKUP(B12,'Program 10'!$A$7:$G$64,6)</f>
        <v>0.46649999999999991</v>
      </c>
      <c r="R12" s="8">
        <f>VLOOKUP(B12,'Program 10'!$A$7:$G$64,7)</f>
        <v>22971.779533678771</v>
      </c>
      <c r="S12" s="87">
        <f>VLOOKUP(B12,'Program 90'!$A$7:$G$64,6)</f>
        <v>0.43705547801989858</v>
      </c>
      <c r="T12" s="8">
        <f>VLOOKUP(B12,'Program 90'!$A$7:$G$64,7)</f>
        <v>15357.697826086955</v>
      </c>
      <c r="U12" s="72">
        <f>(D12*VLOOKUP(B12,'FTE Allotment Factor'!$B$7:$H$64,7,FALSE)*Q12)+(D12*R12)</f>
        <v>650726.45449449052</v>
      </c>
      <c r="V12" s="72">
        <f>((((E12-1)*VLOOKUP(B12,'FTE Allotment Factor'!$B$7:$H$64,7,FALSE))+(K12*N12))*S12)+(T12*E12)</f>
        <v>224075.35530026502</v>
      </c>
      <c r="W12" s="90">
        <f t="shared" si="3"/>
        <v>874801.80979475554</v>
      </c>
      <c r="Y12" s="90">
        <f>F12*(VLOOKUP(A12, 'OE&amp;E by Cluster'!$B$6:$C$9,2,FALSE))</f>
        <v>740048.83423432778</v>
      </c>
      <c r="AA12" s="249">
        <f>'AB1058'!E10</f>
        <v>71572</v>
      </c>
      <c r="AB12" s="90">
        <f t="shared" si="4"/>
        <v>2635031.9874839764</v>
      </c>
      <c r="AC12" s="91">
        <f t="shared" si="1"/>
        <v>9.6944279257601452E-4</v>
      </c>
      <c r="AD12" s="55">
        <f t="shared" si="5"/>
        <v>146390.66597133203</v>
      </c>
    </row>
    <row r="13" spans="1:30" ht="20.100000000000001" customHeight="1" x14ac:dyDescent="0.3">
      <c r="A13" s="65">
        <v>3</v>
      </c>
      <c r="B13" s="66" t="s">
        <v>41</v>
      </c>
      <c r="D13" s="67">
        <f>RAS!M13</f>
        <v>284</v>
      </c>
      <c r="E13" s="67">
        <f>RAS!Q13</f>
        <v>48</v>
      </c>
      <c r="F13" s="68">
        <f t="shared" si="0"/>
        <v>332</v>
      </c>
      <c r="H13" s="71">
        <f>(F13-1)*'AVG RAS salary'!$F$66</f>
        <v>25045663.572989505</v>
      </c>
      <c r="I13" s="71">
        <f>(F13-1)*(VLOOKUP(B13,'FTE Allotment Factor'!$B$6:$D$63,3))</f>
        <v>33554269.227381468</v>
      </c>
      <c r="J13" s="71">
        <f>(F13-1)*(VLOOKUP(B13,'FTE Allotment Factor'!$B$6:$H$63,7))</f>
        <v>33554269.227381468</v>
      </c>
      <c r="K13" s="249">
        <f>VLOOKUP(A13,'CEO Salary'!$G$7:$H$13,2)</f>
        <v>244000.49625956637</v>
      </c>
      <c r="L13" s="249">
        <f t="shared" si="6"/>
        <v>326893.24917458859</v>
      </c>
      <c r="N13" s="85">
        <f>VLOOKUP(B13,BLS!$B$5:$I$64,8, FALSE)</f>
        <v>1.3397237062454224</v>
      </c>
      <c r="O13" s="90">
        <f t="shared" si="7"/>
        <v>33881162.476556055</v>
      </c>
      <c r="Q13" s="87">
        <f>VLOOKUP(B13,'Program 10'!$A$7:$G$64,6)</f>
        <v>0.34869123360716825</v>
      </c>
      <c r="R13" s="8">
        <f>VLOOKUP(B13,'Program 10'!$A$7:$G$64,7)</f>
        <v>25655.552416069288</v>
      </c>
      <c r="S13" s="87">
        <f>VLOOKUP(B13,'Program 90'!$A$7:$G$64,6)</f>
        <v>0.34470923916853841</v>
      </c>
      <c r="T13" s="8">
        <f>VLOOKUP(B13,'Program 90'!$A$7:$G$64,7)</f>
        <v>24777.883289507281</v>
      </c>
      <c r="U13" s="72">
        <f>(D13*VLOOKUP(B13,'FTE Allotment Factor'!$B$7:$H$64,7,FALSE)*Q13)+(D13*R13)</f>
        <v>17324915.817976013</v>
      </c>
      <c r="V13" s="72">
        <f>((((E13-1)*VLOOKUP(B13,'FTE Allotment Factor'!$B$7:$H$64,7,FALSE))+(K13*N13))*S13)+(T13*E13)</f>
        <v>2944389.8925970746</v>
      </c>
      <c r="W13" s="90">
        <f t="shared" si="3"/>
        <v>20269305.710573088</v>
      </c>
      <c r="Y13" s="90">
        <f>F13*(VLOOKUP(A13, 'OE&amp;E by Cluster'!$B$6:$C$9,2,FALSE))</f>
        <v>6857041.9175659325</v>
      </c>
      <c r="AA13" s="249">
        <f>'AB1058'!E11</f>
        <v>1099694.1000000001</v>
      </c>
      <c r="AB13" s="90">
        <f t="shared" si="4"/>
        <v>59907816.004695073</v>
      </c>
      <c r="AC13" s="91">
        <f t="shared" si="1"/>
        <v>2.204041572192672E-2</v>
      </c>
      <c r="AD13" s="55">
        <f t="shared" si="5"/>
        <v>180445.22892980443</v>
      </c>
    </row>
    <row r="14" spans="1:30" ht="20.100000000000001" customHeight="1" x14ac:dyDescent="0.3">
      <c r="A14" s="65">
        <v>1</v>
      </c>
      <c r="B14" s="66" t="s">
        <v>8</v>
      </c>
      <c r="D14" s="67">
        <f>RAS!M14</f>
        <v>20</v>
      </c>
      <c r="E14" s="67">
        <f>RAS!Q14</f>
        <v>7</v>
      </c>
      <c r="F14" s="68">
        <f t="shared" si="0"/>
        <v>27</v>
      </c>
      <c r="H14" s="71">
        <f>(F14-1)*'AVG RAS salary'!$F$66</f>
        <v>1967333.0903254596</v>
      </c>
      <c r="I14" s="71">
        <f>(F14-1)*(VLOOKUP(B14,'FTE Allotment Factor'!$B$6:$D$63,3))</f>
        <v>1476104.4215957536</v>
      </c>
      <c r="J14" s="71">
        <f>(F14-1)*(VLOOKUP(B14,'FTE Allotment Factor'!$B$6:$H$63,7))</f>
        <v>1509510.4847016789</v>
      </c>
      <c r="K14" s="249">
        <f>VLOOKUP(A14,'CEO Salary'!$G$7:$H$13,2)</f>
        <v>143214.08755555557</v>
      </c>
      <c r="L14" s="249">
        <f t="shared" si="6"/>
        <v>107454.57844181581</v>
      </c>
      <c r="N14" s="85">
        <f>VLOOKUP(B14,BLS!$B$5:$I$64,8, FALSE)</f>
        <v>0.75030732154846191</v>
      </c>
      <c r="O14" s="90">
        <f t="shared" si="7"/>
        <v>1616965.0631434948</v>
      </c>
      <c r="Q14" s="87">
        <f>VLOOKUP(B14,'Program 10'!$A$7:$G$64,6)</f>
        <v>0.31014304112885271</v>
      </c>
      <c r="R14" s="8">
        <f>VLOOKUP(B14,'Program 10'!$A$7:$G$64,7)</f>
        <v>27231.925555555554</v>
      </c>
      <c r="S14" s="87">
        <f>VLOOKUP(B14,'Program 90'!$A$7:$G$64,6)</f>
        <v>0.31829999999999997</v>
      </c>
      <c r="T14" s="8">
        <f>VLOOKUP(B14,'Program 90'!$A$7:$G$64,7)</f>
        <v>28819.023333333331</v>
      </c>
      <c r="U14" s="72">
        <f>(D14*VLOOKUP(B14,'FTE Allotment Factor'!$B$7:$H$64,7,FALSE)*Q14)+(D14*R14)</f>
        <v>904764.79752747039</v>
      </c>
      <c r="V14" s="72">
        <f>((((E14-1)*VLOOKUP(B14,'FTE Allotment Factor'!$B$7:$H$64,7,FALSE))+(K14*N14))*S14)+(T14*E14)</f>
        <v>346815.30656225816</v>
      </c>
      <c r="W14" s="90">
        <f t="shared" si="3"/>
        <v>1251580.1040897286</v>
      </c>
      <c r="Y14" s="90">
        <f>F14*(VLOOKUP(A14, 'OE&amp;E by Cluster'!$B$6:$C$9,2,FALSE))</f>
        <v>1110073.2513514918</v>
      </c>
      <c r="AA14" s="249">
        <f>'AB1058'!E12</f>
        <v>103279.33</v>
      </c>
      <c r="AB14" s="90">
        <f t="shared" si="4"/>
        <v>3875339.0885847146</v>
      </c>
      <c r="AC14" s="91">
        <f t="shared" si="1"/>
        <v>1.4257586116834182E-3</v>
      </c>
      <c r="AD14" s="55">
        <f t="shared" si="5"/>
        <v>143531.07735498942</v>
      </c>
    </row>
    <row r="15" spans="1:30" ht="20.100000000000001" customHeight="1" x14ac:dyDescent="0.3">
      <c r="A15" s="65">
        <v>2</v>
      </c>
      <c r="B15" s="66" t="s">
        <v>20</v>
      </c>
      <c r="D15" s="67">
        <f>RAS!M15</f>
        <v>59</v>
      </c>
      <c r="E15" s="67">
        <f>RAS!Q15</f>
        <v>13</v>
      </c>
      <c r="F15" s="68">
        <f t="shared" si="0"/>
        <v>72</v>
      </c>
      <c r="H15" s="71">
        <f>(F15-1)*'AVG RAS salary'!$F$66</f>
        <v>5372332.6697349092</v>
      </c>
      <c r="I15" s="71">
        <f>(F15-1)*(VLOOKUP(B15,'FTE Allotment Factor'!$B$6:$D$63,3))</f>
        <v>5910351.8748106807</v>
      </c>
      <c r="J15" s="71">
        <f>(F15-1)*(VLOOKUP(B15,'FTE Allotment Factor'!$B$6:$H$63,7))</f>
        <v>5910351.8748106807</v>
      </c>
      <c r="K15" s="249">
        <f>VLOOKUP(A15,'CEO Salary'!$G$7:$H$13,2)</f>
        <v>207427.72710829088</v>
      </c>
      <c r="L15" s="249">
        <f t="shared" si="6"/>
        <v>228200.84517638394</v>
      </c>
      <c r="N15" s="85">
        <f>VLOOKUP(B15,BLS!$B$5:$I$64,8, FALSE)</f>
        <v>1.1001462936401367</v>
      </c>
      <c r="O15" s="90">
        <f t="shared" si="7"/>
        <v>6138552.7199870646</v>
      </c>
      <c r="Q15" s="87">
        <f>VLOOKUP(B15,'Program 10'!$A$7:$G$64,6)</f>
        <v>0.28213704075845536</v>
      </c>
      <c r="R15" s="8">
        <f>VLOOKUP(B15,'Program 10'!$A$7:$G$64,7)</f>
        <v>24707.306371938786</v>
      </c>
      <c r="S15" s="87">
        <f>VLOOKUP(B15,'Program 90'!$A$7:$G$64,6)</f>
        <v>0.28364999999999996</v>
      </c>
      <c r="T15" s="8">
        <f>VLOOKUP(B15,'Program 90'!$A$7:$G$64,7)</f>
        <v>17453.602935632185</v>
      </c>
      <c r="U15" s="72">
        <f>(D15*VLOOKUP(B15,'FTE Allotment Factor'!$B$7:$H$64,7,FALSE)*Q15)+(D15*R15)</f>
        <v>2843424.3446798273</v>
      </c>
      <c r="V15" s="72">
        <f>((((E15-1)*VLOOKUP(B15,'FTE Allotment Factor'!$B$7:$H$64,7,FALSE))+(K15*N15))*S15)+(T15*E15)</f>
        <v>574973.2714394799</v>
      </c>
      <c r="W15" s="90">
        <f t="shared" si="3"/>
        <v>3418397.6161193075</v>
      </c>
      <c r="Y15" s="90">
        <f>F15*(VLOOKUP(A15, 'OE&amp;E by Cluster'!$B$6:$C$9,2,FALSE))</f>
        <v>1487069.3315203227</v>
      </c>
      <c r="AA15" s="249">
        <f>'AB1058'!E13</f>
        <v>224524.85</v>
      </c>
      <c r="AB15" s="90">
        <f t="shared" si="4"/>
        <v>10819494.817626694</v>
      </c>
      <c r="AC15" s="91">
        <f t="shared" si="1"/>
        <v>3.9805517808066161E-3</v>
      </c>
      <c r="AD15" s="55">
        <f t="shared" si="5"/>
        <v>150270.76135592631</v>
      </c>
    </row>
    <row r="16" spans="1:30" ht="20.100000000000001" customHeight="1" x14ac:dyDescent="0.3">
      <c r="A16" s="65">
        <v>3</v>
      </c>
      <c r="B16" s="66" t="s">
        <v>42</v>
      </c>
      <c r="D16" s="67">
        <f>RAS!M16</f>
        <v>403</v>
      </c>
      <c r="E16" s="67">
        <f>RAS!Q16</f>
        <v>67</v>
      </c>
      <c r="F16" s="68">
        <f t="shared" si="0"/>
        <v>470</v>
      </c>
      <c r="H16" s="71">
        <f>(F16-1)*'AVG RAS salary'!$F$66</f>
        <v>35487662.283178478</v>
      </c>
      <c r="I16" s="71">
        <f>(F16-1)*(VLOOKUP(B16,'FTE Allotment Factor'!$B$6:$D$63,3))</f>
        <v>32873395.142849617</v>
      </c>
      <c r="J16" s="71">
        <f>(F16-1)*(VLOOKUP(B16,'FTE Allotment Factor'!$B$6:$H$63,7))</f>
        <v>32873395.142849617</v>
      </c>
      <c r="K16" s="249">
        <f>VLOOKUP(A16,'CEO Salary'!$G$7:$H$13,2)</f>
        <v>244000.49625956637</v>
      </c>
      <c r="L16" s="249">
        <f t="shared" si="6"/>
        <v>226025.7287331722</v>
      </c>
      <c r="N16" s="85">
        <f>VLOOKUP(B16,BLS!$B$5:$I$64,8, FALSE)</f>
        <v>0.92633306980133057</v>
      </c>
      <c r="O16" s="90">
        <f t="shared" si="7"/>
        <v>33099420.871582787</v>
      </c>
      <c r="Q16" s="87">
        <f>VLOOKUP(B16,'Program 10'!$A$7:$G$64,6)</f>
        <v>0.57941555614706375</v>
      </c>
      <c r="R16" s="8">
        <f>VLOOKUP(B16,'Program 10'!$A$7:$G$64,7)</f>
        <v>15016.716109641871</v>
      </c>
      <c r="S16" s="87">
        <f>VLOOKUP(B16,'Program 90'!$A$7:$G$64,6)</f>
        <v>0.55914925759622924</v>
      </c>
      <c r="T16" s="8">
        <f>VLOOKUP(B16,'Program 90'!$A$7:$G$64,7)</f>
        <v>14587.508039735971</v>
      </c>
      <c r="U16" s="72">
        <f>(D16*VLOOKUP(B16,'FTE Allotment Factor'!$B$7:$H$64,7,FALSE)*Q16)+(D16*R16)</f>
        <v>22418654.889076859</v>
      </c>
      <c r="V16" s="72">
        <f>((((E16-1)*VLOOKUP(B16,'FTE Allotment Factor'!$B$7:$H$64,7,FALSE))+(K16*N16))*S16)+(T16*E16)</f>
        <v>3690429.3282117331</v>
      </c>
      <c r="W16" s="90">
        <f t="shared" si="3"/>
        <v>26109084.217288591</v>
      </c>
      <c r="Y16" s="90">
        <f>F16*(VLOOKUP(A16, 'OE&amp;E by Cluster'!$B$6:$C$9,2,FALSE))</f>
        <v>9707258.1363132186</v>
      </c>
      <c r="AA16" s="249">
        <f>'AB1058'!E14</f>
        <v>2628596.12</v>
      </c>
      <c r="AB16" s="90">
        <f t="shared" si="4"/>
        <v>66287167.105184592</v>
      </c>
      <c r="AC16" s="91">
        <f t="shared" si="1"/>
        <v>2.4387414154984275E-2</v>
      </c>
      <c r="AD16" s="55">
        <f t="shared" si="5"/>
        <v>141036.52575571189</v>
      </c>
    </row>
    <row r="17" spans="1:30" ht="20.100000000000001" customHeight="1" x14ac:dyDescent="0.3">
      <c r="A17" s="65">
        <v>1</v>
      </c>
      <c r="B17" s="66" t="s">
        <v>9</v>
      </c>
      <c r="C17" s="83"/>
      <c r="D17" s="67">
        <f>RAS!M17</f>
        <v>16</v>
      </c>
      <c r="E17" s="67">
        <f>RAS!Q17</f>
        <v>6</v>
      </c>
      <c r="F17" s="68">
        <f t="shared" si="0"/>
        <v>22</v>
      </c>
      <c r="G17" s="83"/>
      <c r="H17" s="71">
        <f>(F17-1)*'AVG RAS salary'!$F$66</f>
        <v>1588999.8037244095</v>
      </c>
      <c r="I17" s="71">
        <f>(F17-1)*(VLOOKUP(B17,'FTE Allotment Factor'!$B$6:$D$63,3))</f>
        <v>1207645.3289592615</v>
      </c>
      <c r="J17" s="71">
        <f>(F17-1)*(VLOOKUP(B17,'FTE Allotment Factor'!$B$6:$H$63,7))</f>
        <v>1219220.0068744328</v>
      </c>
      <c r="K17" s="249">
        <f>VLOOKUP(A17,'CEO Salary'!$G$7:$H$13,2)</f>
        <v>143214.08755555557</v>
      </c>
      <c r="L17" s="249">
        <f t="shared" si="6"/>
        <v>108843.20027746557</v>
      </c>
      <c r="M17" s="83"/>
      <c r="N17" s="85">
        <f>VLOOKUP(B17,BLS!$B$5:$I$64,8, FALSE)</f>
        <v>0.76000344753265381</v>
      </c>
      <c r="O17" s="90">
        <f t="shared" si="7"/>
        <v>1328063.2071518984</v>
      </c>
      <c r="P17" s="83"/>
      <c r="Q17" s="87">
        <f>VLOOKUP(B17,'Program 10'!$A$7:$G$64,6)</f>
        <v>0.17759999999999998</v>
      </c>
      <c r="R17" s="8">
        <f>VLOOKUP(B17,'Program 10'!$A$7:$G$64,7)</f>
        <v>38084.791174785103</v>
      </c>
      <c r="S17" s="87">
        <f>VLOOKUP(B17,'Program 90'!$A$7:$G$64,6)</f>
        <v>0.17760000000000001</v>
      </c>
      <c r="T17" s="8">
        <f>VLOOKUP(B17,'Program 90'!$A$7:$G$64,7)</f>
        <v>44461.544516129034</v>
      </c>
      <c r="U17" s="72">
        <f>(D17*VLOOKUP(B17,'FTE Allotment Factor'!$B$7:$H$64,7,FALSE)*Q17)+(D17*R17)</f>
        <v>774334.54315534199</v>
      </c>
      <c r="V17" s="72">
        <f>((((E17-1)*VLOOKUP(B17,'FTE Allotment Factor'!$B$7:$H$64,7,FALSE))+(K17*N17))*S17)+(T17*E17)</f>
        <v>337655.40832817095</v>
      </c>
      <c r="W17" s="90">
        <f t="shared" si="3"/>
        <v>1111989.951483513</v>
      </c>
      <c r="X17" s="83"/>
      <c r="Y17" s="90">
        <f>F17*(VLOOKUP(A17, 'OE&amp;E by Cluster'!$B$6:$C$9,2,FALSE))</f>
        <v>904504.13073084503</v>
      </c>
      <c r="Z17" s="83"/>
      <c r="AA17" s="249">
        <f>'AB1058'!E15</f>
        <v>107268.09</v>
      </c>
      <c r="AB17" s="90">
        <f t="shared" si="4"/>
        <v>3237289.1993662566</v>
      </c>
      <c r="AC17" s="91">
        <f t="shared" si="1"/>
        <v>1.1910165404885348E-3</v>
      </c>
      <c r="AD17" s="55">
        <f t="shared" si="5"/>
        <v>147149.50906210256</v>
      </c>
    </row>
    <row r="18" spans="1:30" ht="20.100000000000001" customHeight="1" x14ac:dyDescent="0.3">
      <c r="A18" s="65">
        <v>2</v>
      </c>
      <c r="B18" s="66" t="s">
        <v>21</v>
      </c>
      <c r="D18" s="67">
        <f>RAS!M18</f>
        <v>68</v>
      </c>
      <c r="E18" s="67">
        <f>RAS!Q18</f>
        <v>14</v>
      </c>
      <c r="F18" s="68">
        <f t="shared" si="0"/>
        <v>82</v>
      </c>
      <c r="H18" s="71">
        <f>(F18-1)*'AVG RAS salary'!$F$66</f>
        <v>6128999.2429370089</v>
      </c>
      <c r="I18" s="71">
        <f>(F18-1)*(VLOOKUP(B18,'FTE Allotment Factor'!$B$6:$D$63,3))</f>
        <v>4608960.5123184565</v>
      </c>
      <c r="J18" s="71">
        <f>(F18-1)*(VLOOKUP(B18,'FTE Allotment Factor'!$B$6:$H$63,7))</f>
        <v>4608960.5123184565</v>
      </c>
      <c r="K18" s="249">
        <f>VLOOKUP(A18,'CEO Salary'!$G$7:$H$13,2)</f>
        <v>207427.72710829088</v>
      </c>
      <c r="L18" s="249">
        <f t="shared" si="6"/>
        <v>155984.06289636853</v>
      </c>
      <c r="N18" s="85">
        <f>VLOOKUP(B18,BLS!$B$5:$I$64,8, FALSE)</f>
        <v>0.75199234485626221</v>
      </c>
      <c r="O18" s="90">
        <f t="shared" si="7"/>
        <v>4764944.5752148246</v>
      </c>
      <c r="Q18" s="87">
        <f>VLOOKUP(B18,'Program 10'!$A$7:$G$64,6)</f>
        <v>0.38092124858056492</v>
      </c>
      <c r="R18" s="8">
        <f>VLOOKUP(B18,'Program 10'!$A$7:$G$64,7)</f>
        <v>15318.941077788197</v>
      </c>
      <c r="S18" s="87">
        <f>VLOOKUP(B18,'Program 90'!$A$7:$G$64,6)</f>
        <v>0.39117234181968452</v>
      </c>
      <c r="T18" s="8">
        <f>VLOOKUP(B18,'Program 90'!$A$7:$G$64,7)</f>
        <v>14830.435714285713</v>
      </c>
      <c r="U18" s="72">
        <f>(D18*VLOOKUP(B18,'FTE Allotment Factor'!$B$7:$H$64,7,FALSE)*Q18)+(D18*R18)</f>
        <v>2515567.8392740288</v>
      </c>
      <c r="V18" s="72">
        <f>((((E18-1)*VLOOKUP(B18,'FTE Allotment Factor'!$B$7:$H$64,7,FALSE))+(K18*N18))*S18)+(T18*E18)</f>
        <v>557996.73142225016</v>
      </c>
      <c r="W18" s="90">
        <f t="shared" si="3"/>
        <v>3073564.5706962789</v>
      </c>
      <c r="Y18" s="90">
        <f>F18*(VLOOKUP(A18, 'OE&amp;E by Cluster'!$B$6:$C$9,2,FALSE))</f>
        <v>1693606.7386759231</v>
      </c>
      <c r="AA18" s="249">
        <f>'AB1058'!E16</f>
        <v>213755.13</v>
      </c>
      <c r="AB18" s="90">
        <f t="shared" si="4"/>
        <v>9318360.7545870263</v>
      </c>
      <c r="AC18" s="91">
        <f t="shared" si="1"/>
        <v>3.4282762847153169E-3</v>
      </c>
      <c r="AD18" s="55">
        <f t="shared" si="5"/>
        <v>113638.54578764667</v>
      </c>
    </row>
    <row r="19" spans="1:30" ht="20.100000000000001" customHeight="1" x14ac:dyDescent="0.3">
      <c r="A19" s="65">
        <v>2</v>
      </c>
      <c r="B19" s="66" t="s">
        <v>22</v>
      </c>
      <c r="D19" s="67">
        <f>RAS!M19</f>
        <v>74</v>
      </c>
      <c r="E19" s="67">
        <f>RAS!Q19</f>
        <v>17</v>
      </c>
      <c r="F19" s="68">
        <f t="shared" si="0"/>
        <v>91</v>
      </c>
      <c r="H19" s="71">
        <f>(F19-1)*'AVG RAS salary'!$F$66</f>
        <v>6809999.1588188987</v>
      </c>
      <c r="I19" s="71">
        <f>(F19-1)*(VLOOKUP(B19,'FTE Allotment Factor'!$B$6:$D$63,3))</f>
        <v>4729467.8973498568</v>
      </c>
      <c r="J19" s="71">
        <f>(F19-1)*(VLOOKUP(B19,'FTE Allotment Factor'!$B$6:$H$63,7))</f>
        <v>4729467.8973498568</v>
      </c>
      <c r="K19" s="249">
        <f>VLOOKUP(A19,'CEO Salary'!$G$7:$H$13,2)</f>
        <v>207427.72710829088</v>
      </c>
      <c r="L19" s="249">
        <f t="shared" si="6"/>
        <v>144056.22577918987</v>
      </c>
      <c r="N19" s="85">
        <f>VLOOKUP(B19,BLS!$B$5:$I$64,8, FALSE)</f>
        <v>0.6944887638092041</v>
      </c>
      <c r="O19" s="90">
        <f t="shared" si="7"/>
        <v>4873524.1231290465</v>
      </c>
      <c r="Q19" s="87">
        <f>VLOOKUP(B19,'Program 10'!$A$7:$G$64,6)</f>
        <v>0.22748806042990055</v>
      </c>
      <c r="R19" s="8">
        <f>VLOOKUP(B19,'Program 10'!$A$7:$G$64,7)</f>
        <v>5833.2256097560903</v>
      </c>
      <c r="S19" s="87">
        <f>VLOOKUP(B19,'Program 90'!$A$7:$G$64,6)</f>
        <v>0.22947566569625943</v>
      </c>
      <c r="T19" s="8">
        <f>VLOOKUP(B19,'Program 90'!$A$7:$G$64,7)</f>
        <v>7845.1018518518495</v>
      </c>
      <c r="U19" s="72">
        <f>(D19*VLOOKUP(B19,'FTE Allotment Factor'!$B$7:$H$64,7,FALSE)*Q19)+(D19*R19)</f>
        <v>1316285.5110517987</v>
      </c>
      <c r="V19" s="72">
        <f>((((E19-1)*VLOOKUP(B19,'FTE Allotment Factor'!$B$7:$H$64,7,FALSE))+(K19*N19))*S19)+(T19*E19)</f>
        <v>359365.95985801995</v>
      </c>
      <c r="W19" s="90">
        <f t="shared" si="3"/>
        <v>1675651.4709098185</v>
      </c>
      <c r="Y19" s="90">
        <f>F19*(VLOOKUP(A19, 'OE&amp;E by Cluster'!$B$6:$C$9,2,FALSE))</f>
        <v>1879490.4051159634</v>
      </c>
      <c r="AA19" s="249">
        <f>'AB1058'!E17</f>
        <v>355338.9800000001</v>
      </c>
      <c r="AB19" s="90">
        <f t="shared" si="4"/>
        <v>8073327.019154828</v>
      </c>
      <c r="AC19" s="91">
        <f t="shared" si="1"/>
        <v>2.9702215107840092E-3</v>
      </c>
      <c r="AD19" s="55">
        <f t="shared" si="5"/>
        <v>88717.879331371732</v>
      </c>
    </row>
    <row r="20" spans="1:30" ht="20.100000000000001" customHeight="1" x14ac:dyDescent="0.3">
      <c r="A20" s="65">
        <v>1</v>
      </c>
      <c r="B20" s="66" t="s">
        <v>10</v>
      </c>
      <c r="D20" s="67">
        <f>RAS!M20</f>
        <v>15</v>
      </c>
      <c r="E20" s="67">
        <f>RAS!Q20</f>
        <v>6</v>
      </c>
      <c r="F20" s="68">
        <f t="shared" si="0"/>
        <v>21</v>
      </c>
      <c r="H20" s="71">
        <f>(F20-1)*'AVG RAS salary'!$F$66</f>
        <v>1513333.1464041998</v>
      </c>
      <c r="I20" s="71">
        <f>(F20-1)*(VLOOKUP(B20,'FTE Allotment Factor'!$B$6:$D$63,3))</f>
        <v>1167023.9834897965</v>
      </c>
      <c r="J20" s="71">
        <f>(F20-1)*(VLOOKUP(B20,'FTE Allotment Factor'!$B$6:$H$63,7))</f>
        <v>1167023.9834897965</v>
      </c>
      <c r="K20" s="249">
        <f>VLOOKUP(A20,'CEO Salary'!$G$7:$H$13,2)</f>
        <v>143214.08755555557</v>
      </c>
      <c r="L20" s="249">
        <f t="shared" si="6"/>
        <v>110441.16449049262</v>
      </c>
      <c r="N20" s="85">
        <f>VLOOKUP(B20,BLS!$B$5:$I$64,8, FALSE)</f>
        <v>0.77116131782531738</v>
      </c>
      <c r="O20" s="90">
        <f t="shared" si="7"/>
        <v>1277465.1479802891</v>
      </c>
      <c r="Q20" s="87">
        <f>VLOOKUP(B20,'Program 10'!$A$7:$G$64,6)</f>
        <v>0.17949999999999997</v>
      </c>
      <c r="R20" s="8">
        <f>VLOOKUP(B20,'Program 10'!$A$7:$G$64,7)</f>
        <v>17165.699915789482</v>
      </c>
      <c r="S20" s="87">
        <f>VLOOKUP(B20,'Program 90'!$A$7:$G$64,6)</f>
        <v>0.1692200548257472</v>
      </c>
      <c r="T20" s="8">
        <f>VLOOKUP(B20,'Program 90'!$A$7:$G$64,7)</f>
        <v>16926.75166177778</v>
      </c>
      <c r="U20" s="72">
        <f>(D20*VLOOKUP(B20,'FTE Allotment Factor'!$B$7:$H$64,7,FALSE)*Q20)+(D20*R20)</f>
        <v>414596.10251415608</v>
      </c>
      <c r="V20" s="72">
        <f>((((E20-1)*VLOOKUP(B20,'FTE Allotment Factor'!$B$7:$H$64,7,FALSE))+(K20*N20))*S20)+(T20*E20)</f>
        <v>169620.33549804351</v>
      </c>
      <c r="W20" s="90">
        <f t="shared" si="3"/>
        <v>584216.43801219959</v>
      </c>
      <c r="Y20" s="90">
        <f>F20*(VLOOKUP(A20, 'OE&amp;E by Cluster'!$B$6:$C$9,2,FALSE))</f>
        <v>863390.30660671578</v>
      </c>
      <c r="AA20" s="249">
        <f>'AB1058'!E18</f>
        <v>48500.62000000001</v>
      </c>
      <c r="AB20" s="90">
        <f t="shared" si="4"/>
        <v>2676571.2725992044</v>
      </c>
      <c r="AC20" s="91">
        <f t="shared" si="1"/>
        <v>9.8472532453577595E-4</v>
      </c>
      <c r="AD20" s="55">
        <f t="shared" si="5"/>
        <v>127455.77488567641</v>
      </c>
    </row>
    <row r="21" spans="1:30" ht="20.100000000000001" customHeight="1" x14ac:dyDescent="0.3">
      <c r="A21" s="65">
        <v>3</v>
      </c>
      <c r="B21" s="66" t="s">
        <v>43</v>
      </c>
      <c r="D21" s="67">
        <f>RAS!M21</f>
        <v>413</v>
      </c>
      <c r="E21" s="67">
        <f>RAS!Q21</f>
        <v>74</v>
      </c>
      <c r="F21" s="68">
        <f t="shared" si="0"/>
        <v>487</v>
      </c>
      <c r="H21" s="71">
        <f>(F21-1)*'AVG RAS salary'!$F$66</f>
        <v>36773995.457622051</v>
      </c>
      <c r="I21" s="71">
        <f>(F21-1)*(VLOOKUP(B21,'FTE Allotment Factor'!$B$6:$D$63,3))</f>
        <v>33507089.858633514</v>
      </c>
      <c r="J21" s="71">
        <f>(F21-1)*(VLOOKUP(B21,'FTE Allotment Factor'!$B$6:$H$63,7))</f>
        <v>33507089.858633514</v>
      </c>
      <c r="K21" s="249">
        <f>VLOOKUP(A21,'CEO Salary'!$G$7:$H$13,2)</f>
        <v>244000.49625956637</v>
      </c>
      <c r="L21" s="249">
        <f t="shared" si="6"/>
        <v>222324.13018982671</v>
      </c>
      <c r="N21" s="85">
        <f>VLOOKUP(B21,BLS!$B$5:$I$64,8, FALSE)</f>
        <v>0.9111626148223877</v>
      </c>
      <c r="O21" s="90">
        <f t="shared" si="7"/>
        <v>33729413.988823339</v>
      </c>
      <c r="Q21" s="87">
        <f>VLOOKUP(B21,'Program 10'!$A$7:$G$64,6)</f>
        <v>0.49968908264279349</v>
      </c>
      <c r="R21" s="8">
        <f>VLOOKUP(B21,'Program 10'!$A$7:$G$64,7)</f>
        <v>19727.520920715961</v>
      </c>
      <c r="S21" s="87">
        <f>VLOOKUP(B21,'Program 90'!$A$7:$G$64,6)</f>
        <v>0.51122313569663858</v>
      </c>
      <c r="T21" s="8">
        <f>VLOOKUP(B21,'Program 90'!$A$7:$G$64,7)</f>
        <v>20189.829156626543</v>
      </c>
      <c r="U21" s="72">
        <f>(D21*VLOOKUP(B21,'FTE Allotment Factor'!$B$7:$H$64,7,FALSE)*Q21)+(D21*R21)</f>
        <v>22375678.996863641</v>
      </c>
      <c r="V21" s="72">
        <f>((((E21-1)*VLOOKUP(B21,'FTE Allotment Factor'!$B$7:$H$64,7,FALSE))+(K21*N21))*S21)+(T21*E21)</f>
        <v>4180669.1373669845</v>
      </c>
      <c r="W21" s="90">
        <f t="shared" si="3"/>
        <v>26556348.134230625</v>
      </c>
      <c r="Y21" s="90">
        <f>F21*(VLOOKUP(A21, 'OE&amp;E by Cluster'!$B$6:$C$9,2,FALSE))</f>
        <v>10058371.728477739</v>
      </c>
      <c r="AA21" s="249">
        <f>'AB1058'!E19</f>
        <v>1567804.1199999999</v>
      </c>
      <c r="AB21" s="90">
        <f t="shared" si="4"/>
        <v>68776329.731531709</v>
      </c>
      <c r="AC21" s="91">
        <f t="shared" si="1"/>
        <v>2.5303190805561454E-2</v>
      </c>
      <c r="AD21" s="55">
        <f t="shared" si="5"/>
        <v>141224.49636864828</v>
      </c>
    </row>
    <row r="22" spans="1:30" ht="20.100000000000001" customHeight="1" x14ac:dyDescent="0.3">
      <c r="A22" s="65">
        <v>2</v>
      </c>
      <c r="B22" s="66" t="s">
        <v>23</v>
      </c>
      <c r="D22" s="67">
        <f>RAS!M22</f>
        <v>89</v>
      </c>
      <c r="E22" s="67">
        <f>RAS!Q22</f>
        <v>19</v>
      </c>
      <c r="F22" s="68">
        <f t="shared" si="0"/>
        <v>108</v>
      </c>
      <c r="H22" s="71">
        <f>(F22-1)*'AVG RAS salary'!$F$66</f>
        <v>8096332.3332624678</v>
      </c>
      <c r="I22" s="71">
        <f>(F22-1)*(VLOOKUP(B22,'FTE Allotment Factor'!$B$6:$D$63,3))</f>
        <v>6888653.2598529914</v>
      </c>
      <c r="J22" s="71">
        <f>(F22-1)*(VLOOKUP(B22,'FTE Allotment Factor'!$B$6:$H$63,7))</f>
        <v>6888653.2598529914</v>
      </c>
      <c r="K22" s="249">
        <f>VLOOKUP(A22,'CEO Salary'!$G$7:$H$13,2)</f>
        <v>207427.72710829088</v>
      </c>
      <c r="L22" s="249">
        <f t="shared" si="6"/>
        <v>176487.03508106136</v>
      </c>
      <c r="N22" s="85">
        <f>VLOOKUP(B22,BLS!$B$5:$I$64,8, FALSE)</f>
        <v>0.85083627700805664</v>
      </c>
      <c r="O22" s="90">
        <f t="shared" si="7"/>
        <v>7065140.294934053</v>
      </c>
      <c r="Q22" s="87">
        <f>VLOOKUP(B22,'Program 10'!$A$7:$G$64,6)</f>
        <v>0.16602299702308082</v>
      </c>
      <c r="R22" s="8">
        <f>VLOOKUP(B22,'Program 10'!$A$7:$G$64,7)</f>
        <v>17016.273561643837</v>
      </c>
      <c r="S22" s="87">
        <f>VLOOKUP(B22,'Program 90'!$A$7:$G$64,6)</f>
        <v>0.16650000000000001</v>
      </c>
      <c r="T22" s="8">
        <f>VLOOKUP(B22,'Program 90'!$A$7:$G$64,7)</f>
        <v>18145.852857142858</v>
      </c>
      <c r="U22" s="72">
        <f>(D22*VLOOKUP(B22,'FTE Allotment Factor'!$B$7:$H$64,7,FALSE)*Q22)+(D22*R22)</f>
        <v>2465729.3050159393</v>
      </c>
      <c r="V22" s="72">
        <f>((((E22-1)*VLOOKUP(B22,'FTE Allotment Factor'!$B$7:$H$64,7,FALSE))+(K22*N22))*S22)+(T22*E22)</f>
        <v>567102.9668396028</v>
      </c>
      <c r="W22" s="90">
        <f t="shared" si="3"/>
        <v>3032832.271855542</v>
      </c>
      <c r="Y22" s="90">
        <f>F22*(VLOOKUP(A22, 'OE&amp;E by Cluster'!$B$6:$C$9,2,FALSE))</f>
        <v>2230603.9972804841</v>
      </c>
      <c r="AA22" s="249">
        <f>'AB1058'!E20</f>
        <v>303088.64000000007</v>
      </c>
      <c r="AB22" s="90">
        <f t="shared" si="4"/>
        <v>12025487.924070079</v>
      </c>
      <c r="AC22" s="91">
        <f t="shared" si="1"/>
        <v>4.4242432921397425E-3</v>
      </c>
      <c r="AD22" s="55">
        <f t="shared" si="5"/>
        <v>111347.11040805628</v>
      </c>
    </row>
    <row r="23" spans="1:30" ht="20.100000000000001" customHeight="1" x14ac:dyDescent="0.3">
      <c r="A23" s="65">
        <v>2</v>
      </c>
      <c r="B23" s="66" t="s">
        <v>24</v>
      </c>
      <c r="D23" s="67">
        <f>RAS!M23</f>
        <v>47</v>
      </c>
      <c r="E23" s="67">
        <f>RAS!Q23</f>
        <v>10</v>
      </c>
      <c r="F23" s="68">
        <f t="shared" si="0"/>
        <v>57</v>
      </c>
      <c r="H23" s="71">
        <f>(F23-1)*'AVG RAS salary'!$F$66</f>
        <v>4237332.8099317588</v>
      </c>
      <c r="I23" s="71">
        <f>(F23-1)*(VLOOKUP(B23,'FTE Allotment Factor'!$B$6:$D$63,3))</f>
        <v>3158581.1691875723</v>
      </c>
      <c r="J23" s="71">
        <f>(F23-1)*(VLOOKUP(B23,'FTE Allotment Factor'!$B$6:$H$63,7))</f>
        <v>3158581.1691875723</v>
      </c>
      <c r="K23" s="249">
        <f>VLOOKUP(A23,'CEO Salary'!$G$7:$H$13,2)</f>
        <v>207427.72710829088</v>
      </c>
      <c r="L23" s="249">
        <f t="shared" si="6"/>
        <v>154620.21564036119</v>
      </c>
      <c r="N23" s="85">
        <f>VLOOKUP(B23,BLS!$B$5:$I$64,8, FALSE)</f>
        <v>0.74541729688644409</v>
      </c>
      <c r="O23" s="90">
        <f t="shared" si="7"/>
        <v>3313201.3848279333</v>
      </c>
      <c r="Q23" s="87">
        <f>VLOOKUP(B23,'Program 10'!$A$7:$G$64,6)</f>
        <v>0.29969999999999997</v>
      </c>
      <c r="R23" s="8">
        <f>VLOOKUP(B23,'Program 10'!$A$7:$G$64,7)</f>
        <v>14686.832500000006</v>
      </c>
      <c r="S23" s="87">
        <f>VLOOKUP(B23,'Program 90'!$A$7:$G$64,6)</f>
        <v>0.29970000000000008</v>
      </c>
      <c r="T23" s="8">
        <f>VLOOKUP(B23,'Program 90'!$A$7:$G$64,7)</f>
        <v>14686.832500000002</v>
      </c>
      <c r="U23" s="72">
        <f>(D23*VLOOKUP(B23,'FTE Allotment Factor'!$B$7:$H$64,7,FALSE)*Q23)+(D23*R23)</f>
        <v>1484771.4576974865</v>
      </c>
      <c r="V23" s="72">
        <f>((((E23-1)*VLOOKUP(B23,'FTE Allotment Factor'!$B$7:$H$64,7,FALSE))+(K23*N23))*S23)+(T23*E23)</f>
        <v>345344.44983544562</v>
      </c>
      <c r="W23" s="90">
        <f t="shared" si="3"/>
        <v>1830115.9075329322</v>
      </c>
      <c r="Y23" s="90">
        <f>F23*(VLOOKUP(A23, 'OE&amp;E by Cluster'!$B$6:$C$9,2,FALSE))</f>
        <v>1177263.2207869221</v>
      </c>
      <c r="AA23" s="249">
        <f>'AB1058'!E21</f>
        <v>264358.67000000004</v>
      </c>
      <c r="AB23" s="90">
        <f t="shared" si="4"/>
        <v>6056221.8431477882</v>
      </c>
      <c r="AC23" s="91">
        <f t="shared" si="1"/>
        <v>2.2281173981827237E-3</v>
      </c>
      <c r="AD23" s="55">
        <f t="shared" si="5"/>
        <v>106249.50602013663</v>
      </c>
    </row>
    <row r="24" spans="1:30" ht="20.100000000000001" customHeight="1" x14ac:dyDescent="0.3">
      <c r="A24" s="65">
        <v>1</v>
      </c>
      <c r="B24" s="66" t="s">
        <v>11</v>
      </c>
      <c r="D24" s="67">
        <f>RAS!M24</f>
        <v>16</v>
      </c>
      <c r="E24" s="67">
        <f>RAS!Q24</f>
        <v>6</v>
      </c>
      <c r="F24" s="68">
        <f t="shared" si="0"/>
        <v>22</v>
      </c>
      <c r="H24" s="71">
        <f>(F24-1)*'AVG RAS salary'!$F$66</f>
        <v>1588999.8037244095</v>
      </c>
      <c r="I24" s="71">
        <f>(F24-1)*(VLOOKUP(B24,'FTE Allotment Factor'!$B$6:$D$63,3))</f>
        <v>1269657.480766173</v>
      </c>
      <c r="J24" s="71">
        <f>(F24-1)*(VLOOKUP(B24,'FTE Allotment Factor'!$B$6:$H$63,7))</f>
        <v>1269657.480766173</v>
      </c>
      <c r="K24" s="249">
        <f>VLOOKUP(A24,'CEO Salary'!$G$7:$H$13,2)</f>
        <v>143214.08755555557</v>
      </c>
      <c r="L24" s="249">
        <f t="shared" si="6"/>
        <v>114432.25933056769</v>
      </c>
      <c r="N24" s="85">
        <f>VLOOKUP(B24,BLS!$B$5:$I$64,8, FALSE)</f>
        <v>0.79902935028076172</v>
      </c>
      <c r="O24" s="90">
        <f t="shared" si="7"/>
        <v>1384089.7400967407</v>
      </c>
      <c r="Q24" s="87">
        <f>VLOOKUP(B24,'Program 10'!$A$7:$G$64,6)</f>
        <v>0.15107988118502405</v>
      </c>
      <c r="R24" s="8">
        <f>VLOOKUP(B24,'Program 10'!$A$7:$G$64,7)</f>
        <v>9333.7328774999951</v>
      </c>
      <c r="S24" s="87">
        <f>VLOOKUP(B24,'Program 90'!$A$7:$G$64,6)</f>
        <v>0.15624999999999997</v>
      </c>
      <c r="T24" s="8">
        <f>VLOOKUP(B24,'Program 90'!$A$7:$G$64,7)</f>
        <v>9935.1548142857118</v>
      </c>
      <c r="U24" s="72">
        <f>(D24*VLOOKUP(B24,'FTE Allotment Factor'!$B$7:$H$64,7,FALSE)*Q24)+(D24*R24)</f>
        <v>295488.06991796591</v>
      </c>
      <c r="V24" s="72">
        <f>((((E24-1)*VLOOKUP(B24,'FTE Allotment Factor'!$B$7:$H$64,7,FALSE))+(K24*N24))*S24)+(T24*E24)</f>
        <v>124725.25068461892</v>
      </c>
      <c r="W24" s="90">
        <f t="shared" si="3"/>
        <v>420213.32060258486</v>
      </c>
      <c r="Y24" s="90">
        <f>F24*(VLOOKUP(A24, 'OE&amp;E by Cluster'!$B$6:$C$9,2,FALSE))</f>
        <v>904504.13073084503</v>
      </c>
      <c r="AA24" s="249">
        <f>'AB1058'!E22</f>
        <v>128288.09</v>
      </c>
      <c r="AB24" s="90">
        <f t="shared" si="4"/>
        <v>2580519.1014301707</v>
      </c>
      <c r="AC24" s="91">
        <f t="shared" si="1"/>
        <v>9.4938720132004657E-4</v>
      </c>
      <c r="AD24" s="55">
        <f t="shared" si="5"/>
        <v>117296.32279228048</v>
      </c>
    </row>
    <row r="25" spans="1:30" ht="20.100000000000001" customHeight="1" x14ac:dyDescent="0.3">
      <c r="A25" s="65">
        <v>4</v>
      </c>
      <c r="B25" s="66" t="s">
        <v>54</v>
      </c>
      <c r="D25" s="67">
        <f>RAS!M25</f>
        <v>3583</v>
      </c>
      <c r="E25" s="67">
        <f>RAS!Q25</f>
        <v>639</v>
      </c>
      <c r="F25" s="68">
        <f t="shared" si="0"/>
        <v>4222</v>
      </c>
      <c r="H25" s="71">
        <f>(F25-1)*'AVG RAS salary'!$F$66</f>
        <v>319388960.54860634</v>
      </c>
      <c r="I25" s="71">
        <f>(F25-1)*(VLOOKUP(B25,'FTE Allotment Factor'!$B$6:$D$63,3))</f>
        <v>440084527.17580956</v>
      </c>
      <c r="J25" s="71">
        <f>(F25-1)*(VLOOKUP(B25,'FTE Allotment Factor'!$B$6:$H$63,7))</f>
        <v>440084527.17580956</v>
      </c>
      <c r="K25" s="249">
        <f>VLOOKUP(A25,'CEO Salary'!$G$7:$H$13,2)</f>
        <v>311352.57949999999</v>
      </c>
      <c r="L25" s="249">
        <f t="shared" si="6"/>
        <v>429011.23601413111</v>
      </c>
      <c r="N25" s="85">
        <f>VLOOKUP(B25,BLS!$B$5:$I$64,8, FALSE)</f>
        <v>1.3778952360153198</v>
      </c>
      <c r="O25" s="90">
        <f t="shared" si="7"/>
        <v>440513538.41182369</v>
      </c>
      <c r="Q25" s="87">
        <f>VLOOKUP(B25,'Program 10'!$A$7:$G$64,6)</f>
        <v>0.32162123085642108</v>
      </c>
      <c r="R25" s="8">
        <f>VLOOKUP(B25,'Program 10'!$A$7:$G$64,7)</f>
        <v>30756.864763778383</v>
      </c>
      <c r="S25" s="87">
        <f>VLOOKUP(B25,'Program 90'!$A$7:$G$64,6)</f>
        <v>0.41763257285457694</v>
      </c>
      <c r="T25" s="8">
        <f>VLOOKUP(B25,'Program 90'!$A$7:$G$64,7)</f>
        <v>24771.502357232559</v>
      </c>
      <c r="U25" s="72">
        <f>(D25*VLOOKUP(B25,'FTE Allotment Factor'!$B$7:$H$64,7,FALSE)*Q25)+(D25*R25)</f>
        <v>230348662.21641004</v>
      </c>
      <c r="V25" s="72">
        <f>((((E25-1)*VLOOKUP(B25,'FTE Allotment Factor'!$B$7:$H$64,7,FALSE))+(K25*N25))*S25)+(T25*E25)</f>
        <v>43788386.052498423</v>
      </c>
      <c r="W25" s="90">
        <f t="shared" si="3"/>
        <v>274137048.26890844</v>
      </c>
      <c r="Y25" s="90">
        <f>F25*(VLOOKUP(A25, 'OE&amp;E by Cluster'!$B$6:$C$9,2,FALSE))</f>
        <v>87200093.301094472</v>
      </c>
      <c r="AA25" s="249">
        <f>'AB1058'!E23</f>
        <v>10748298.859999999</v>
      </c>
      <c r="AB25" s="90">
        <f t="shared" si="4"/>
        <v>791102381.12182653</v>
      </c>
      <c r="AC25" s="91">
        <f t="shared" si="1"/>
        <v>0.29105092659636705</v>
      </c>
      <c r="AD25" s="55">
        <f t="shared" si="5"/>
        <v>187376.21532966048</v>
      </c>
    </row>
    <row r="26" spans="1:30" ht="20.100000000000001" customHeight="1" x14ac:dyDescent="0.3">
      <c r="A26" s="65">
        <v>2</v>
      </c>
      <c r="B26" s="66" t="s">
        <v>25</v>
      </c>
      <c r="D26" s="67">
        <f>RAS!M26</f>
        <v>90</v>
      </c>
      <c r="E26" s="67">
        <f>RAS!Q26</f>
        <v>19</v>
      </c>
      <c r="F26" s="68">
        <f t="shared" si="0"/>
        <v>109</v>
      </c>
      <c r="H26" s="71">
        <f>(F26-1)*'AVG RAS salary'!$F$66</f>
        <v>8171998.9905826785</v>
      </c>
      <c r="I26" s="71">
        <f>(F26-1)*(VLOOKUP(B26,'FTE Allotment Factor'!$B$6:$D$63,3))</f>
        <v>7445040.9195003789</v>
      </c>
      <c r="J26" s="71">
        <f>(F26-1)*(VLOOKUP(B26,'FTE Allotment Factor'!$B$6:$H$63,7))</f>
        <v>7445040.9195003789</v>
      </c>
      <c r="K26" s="249">
        <f>VLOOKUP(A26,'CEO Salary'!$G$7:$H$13,2)</f>
        <v>207427.72710829088</v>
      </c>
      <c r="L26" s="249">
        <f t="shared" si="6"/>
        <v>188975.53927011337</v>
      </c>
      <c r="N26" s="85">
        <f>VLOOKUP(B26,BLS!$B$5:$I$64,8, FALSE)</f>
        <v>0.91104280948638916</v>
      </c>
      <c r="O26" s="90">
        <f t="shared" si="7"/>
        <v>7634016.4587704921</v>
      </c>
      <c r="Q26" s="87">
        <f>VLOOKUP(B26,'Program 10'!$A$7:$G$64,6)</f>
        <v>0.40372866599268431</v>
      </c>
      <c r="R26" s="8">
        <f>VLOOKUP(B26,'Program 10'!$A$7:$G$64,7)</f>
        <v>11891.860572324696</v>
      </c>
      <c r="S26" s="87">
        <f>VLOOKUP(B26,'Program 90'!$A$7:$G$64,6)</f>
        <v>0.4113042548803888</v>
      </c>
      <c r="T26" s="8">
        <f>VLOOKUP(B26,'Program 90'!$A$7:$G$64,7)</f>
        <v>11722</v>
      </c>
      <c r="U26" s="72">
        <f>(D26*VLOOKUP(B26,'FTE Allotment Factor'!$B$7:$H$64,7,FALSE)*Q26)+(D26*R26)</f>
        <v>3575081.1504182527</v>
      </c>
      <c r="V26" s="72">
        <f>((((E26-1)*VLOOKUP(B26,'FTE Allotment Factor'!$B$7:$H$64,7,FALSE))+(K26*N26))*S26)+(T26*E26)</f>
        <v>810807.27802829829</v>
      </c>
      <c r="W26" s="90">
        <f t="shared" si="3"/>
        <v>4385888.4284465509</v>
      </c>
      <c r="Y26" s="90">
        <f>F26*(VLOOKUP(A26, 'OE&amp;E by Cluster'!$B$6:$C$9,2,FALSE))</f>
        <v>2251257.7379960441</v>
      </c>
      <c r="AA26" s="249">
        <f>'AB1058'!E24</f>
        <v>396137.52</v>
      </c>
      <c r="AB26" s="90">
        <f t="shared" si="4"/>
        <v>13875025.105213087</v>
      </c>
      <c r="AC26" s="91">
        <f t="shared" si="1"/>
        <v>5.104698215790399E-3</v>
      </c>
      <c r="AD26" s="55">
        <f t="shared" si="5"/>
        <v>127293.80830470721</v>
      </c>
    </row>
    <row r="27" spans="1:30" ht="20.100000000000001" customHeight="1" x14ac:dyDescent="0.3">
      <c r="A27" s="65">
        <v>2</v>
      </c>
      <c r="B27" s="66" t="s">
        <v>26</v>
      </c>
      <c r="D27" s="67">
        <f>RAS!M27</f>
        <v>82</v>
      </c>
      <c r="E27" s="67">
        <f>RAS!Q27</f>
        <v>18</v>
      </c>
      <c r="F27" s="68">
        <f t="shared" si="0"/>
        <v>100</v>
      </c>
      <c r="H27" s="71">
        <f>(F27-1)*'AVG RAS salary'!$F$66</f>
        <v>7490999.0747007886</v>
      </c>
      <c r="I27" s="71">
        <f>(F27-1)*(VLOOKUP(B27,'FTE Allotment Factor'!$B$6:$D$63,3))</f>
        <v>9569429.1961686686</v>
      </c>
      <c r="J27" s="71">
        <f>(F27-1)*(VLOOKUP(B27,'FTE Allotment Factor'!$B$6:$H$63,7))</f>
        <v>9569429.1961686686</v>
      </c>
      <c r="K27" s="249">
        <f>VLOOKUP(A27,'CEO Salary'!$G$7:$H$13,2)</f>
        <v>207427.72710829088</v>
      </c>
      <c r="L27" s="249">
        <f t="shared" si="6"/>
        <v>264980.00174486358</v>
      </c>
      <c r="N27" s="85">
        <f>VLOOKUP(B27,BLS!$B$5:$I$64,8, FALSE)</f>
        <v>1.2774569988250732</v>
      </c>
      <c r="O27" s="90">
        <f t="shared" si="7"/>
        <v>9834409.1979135312</v>
      </c>
      <c r="Q27" s="87">
        <f>VLOOKUP(B27,'Program 10'!$A$7:$G$64,6)</f>
        <v>0.21237029647252378</v>
      </c>
      <c r="R27" s="8">
        <f>VLOOKUP(B27,'Program 10'!$A$7:$G$64,7)</f>
        <v>19423.169999999987</v>
      </c>
      <c r="S27" s="87">
        <f>VLOOKUP(B27,'Program 90'!$A$7:$G$64,6)</f>
        <v>0.20804320342803195</v>
      </c>
      <c r="T27" s="8">
        <f>VLOOKUP(B27,'Program 90'!$A$7:$G$64,7)</f>
        <v>19423.169999999995</v>
      </c>
      <c r="U27" s="72">
        <f>(D27*VLOOKUP(B27,'FTE Allotment Factor'!$B$7:$H$64,7,FALSE)*Q27)+(D27*R27)</f>
        <v>3275988.0841210047</v>
      </c>
      <c r="V27" s="72">
        <f>((((E27-1)*VLOOKUP(B27,'FTE Allotment Factor'!$B$7:$H$64,7,FALSE))+(K27*N27))*S27)+(T27*E27)</f>
        <v>746608.28764097625</v>
      </c>
      <c r="W27" s="90">
        <f t="shared" si="3"/>
        <v>4022596.3717619809</v>
      </c>
      <c r="Y27" s="90">
        <f>F27*(VLOOKUP(A27, 'OE&amp;E by Cluster'!$B$6:$C$9,2,FALSE))</f>
        <v>2065374.0715560038</v>
      </c>
      <c r="AA27" s="249">
        <f>'AB1058'!E25</f>
        <v>244514.12</v>
      </c>
      <c r="AB27" s="90">
        <f t="shared" si="4"/>
        <v>15677865.521231517</v>
      </c>
      <c r="AC27" s="91">
        <f t="shared" si="1"/>
        <v>5.7679731421576598E-3</v>
      </c>
      <c r="AD27" s="55">
        <f t="shared" si="5"/>
        <v>156778.65521231518</v>
      </c>
    </row>
    <row r="28" spans="1:30" ht="20.100000000000001" customHeight="1" x14ac:dyDescent="0.3">
      <c r="A28" s="65">
        <v>1</v>
      </c>
      <c r="B28" s="66" t="s">
        <v>12</v>
      </c>
      <c r="D28" s="67">
        <f>RAS!M28</f>
        <v>9</v>
      </c>
      <c r="E28" s="67">
        <f>RAS!Q28</f>
        <v>4</v>
      </c>
      <c r="F28" s="68">
        <f t="shared" si="0"/>
        <v>13</v>
      </c>
      <c r="H28" s="71">
        <f>(F28-1)*'AVG RAS salary'!$F$66</f>
        <v>907999.88784251979</v>
      </c>
      <c r="I28" s="71">
        <f>(F28-1)*(VLOOKUP(B28,'FTE Allotment Factor'!$B$6:$D$63,3))</f>
        <v>783528.70704276138</v>
      </c>
      <c r="J28" s="71">
        <f>(F28-1)*(VLOOKUP(B28,'FTE Allotment Factor'!$B$6:$H$63,7))</f>
        <v>783528.70704276138</v>
      </c>
      <c r="K28" s="249">
        <f>VLOOKUP(A28,'CEO Salary'!$G$7:$H$13,2)</f>
        <v>143214.08755555557</v>
      </c>
      <c r="L28" s="249">
        <f t="shared" si="6"/>
        <v>123581.89726139589</v>
      </c>
      <c r="N28" s="85">
        <f>VLOOKUP(B28,BLS!$B$5:$I$64,8, FALSE)</f>
        <v>0.86291718482971191</v>
      </c>
      <c r="O28" s="90">
        <f t="shared" si="7"/>
        <v>907110.60430415731</v>
      </c>
      <c r="Q28" s="87">
        <f>VLOOKUP(B28,'Program 10'!$A$7:$G$64,6)</f>
        <v>0.28338416112225545</v>
      </c>
      <c r="R28" s="8">
        <f>VLOOKUP(B28,'Program 10'!$A$7:$G$64,7)</f>
        <v>15107.561975609759</v>
      </c>
      <c r="S28" s="87">
        <f>VLOOKUP(B28,'Program 90'!$A$7:$G$64,6)</f>
        <v>0.23292830742621787</v>
      </c>
      <c r="T28" s="8">
        <f>VLOOKUP(B28,'Program 90'!$A$7:$G$64,7)</f>
        <v>11716.469030612247</v>
      </c>
      <c r="U28" s="72">
        <f>(D28*VLOOKUP(B28,'FTE Allotment Factor'!$B$7:$H$64,7,FALSE)*Q28)+(D28*R28)</f>
        <v>302497.7768008766</v>
      </c>
      <c r="V28" s="72">
        <f>((((E28-1)*VLOOKUP(B28,'FTE Allotment Factor'!$B$7:$H$64,7,FALSE))+(K28*N28))*S28)+(T28*E28)</f>
        <v>121278.10216789751</v>
      </c>
      <c r="W28" s="90">
        <f t="shared" si="3"/>
        <v>423775.87896877411</v>
      </c>
      <c r="Y28" s="90">
        <f>F28*(VLOOKUP(A28, 'OE&amp;E by Cluster'!$B$6:$C$9,2,FALSE))</f>
        <v>534479.71361368115</v>
      </c>
      <c r="AA28" s="249">
        <f>'AB1058'!E26</f>
        <v>19272.160000000003</v>
      </c>
      <c r="AB28" s="90">
        <f t="shared" si="4"/>
        <v>1846094.0368866127</v>
      </c>
      <c r="AC28" s="91">
        <f t="shared" si="1"/>
        <v>6.7918817190000763E-4</v>
      </c>
      <c r="AD28" s="55">
        <f t="shared" si="5"/>
        <v>142007.23360666251</v>
      </c>
    </row>
    <row r="29" spans="1:30" ht="20.100000000000001" customHeight="1" x14ac:dyDescent="0.3">
      <c r="A29" s="65">
        <v>2</v>
      </c>
      <c r="B29" s="66" t="s">
        <v>27</v>
      </c>
      <c r="D29" s="67">
        <f>RAS!M29</f>
        <v>51</v>
      </c>
      <c r="E29" s="67">
        <f>RAS!Q29</f>
        <v>11</v>
      </c>
      <c r="F29" s="68">
        <f t="shared" si="0"/>
        <v>62</v>
      </c>
      <c r="H29" s="71">
        <f>(F29-1)*'AVG RAS salary'!$F$66</f>
        <v>4615666.0965328086</v>
      </c>
      <c r="I29" s="71">
        <f>(F29-1)*(VLOOKUP(B29,'FTE Allotment Factor'!$B$6:$D$63,3))</f>
        <v>3686229.4942054567</v>
      </c>
      <c r="J29" s="71">
        <f>(F29-1)*(VLOOKUP(B29,'FTE Allotment Factor'!$B$6:$H$63,7))</f>
        <v>3686229.4942054567</v>
      </c>
      <c r="K29" s="249">
        <f>VLOOKUP(A29,'CEO Salary'!$G$7:$H$13,2)</f>
        <v>207427.72710829088</v>
      </c>
      <c r="L29" s="249">
        <f t="shared" si="6"/>
        <v>165658.9080733014</v>
      </c>
      <c r="N29" s="85">
        <f>VLOOKUP(B29,BLS!$B$5:$I$64,8, FALSE)</f>
        <v>0.79863435029983521</v>
      </c>
      <c r="O29" s="90">
        <f t="shared" si="7"/>
        <v>3851888.4022787581</v>
      </c>
      <c r="Q29" s="87">
        <f>VLOOKUP(B29,'Program 10'!$A$7:$G$64,6)</f>
        <v>0.47357780075110117</v>
      </c>
      <c r="R29" s="8">
        <f>VLOOKUP(B29,'Program 10'!$A$7:$G$64,7)</f>
        <v>18710.194174757282</v>
      </c>
      <c r="S29" s="87">
        <f>VLOOKUP(B29,'Program 90'!$A$7:$G$64,6)</f>
        <v>0.46716343250367265</v>
      </c>
      <c r="T29" s="8">
        <f>VLOOKUP(B29,'Program 90'!$A$7:$G$64,7)</f>
        <v>12618.666666666666</v>
      </c>
      <c r="U29" s="72">
        <f>(D29*VLOOKUP(B29,'FTE Allotment Factor'!$B$7:$H$64,7,FALSE)*Q29)+(D29*R29)</f>
        <v>2413753.334116111</v>
      </c>
      <c r="V29" s="72">
        <f>((((E29-1)*VLOOKUP(B29,'FTE Allotment Factor'!$B$7:$H$64,7,FALSE))+(K29*N29))*S29)+(T29*E29)</f>
        <v>498501.94097978162</v>
      </c>
      <c r="W29" s="90">
        <f t="shared" si="3"/>
        <v>2912255.2750958926</v>
      </c>
      <c r="Y29" s="90">
        <f>F29*(VLOOKUP(A29, 'OE&amp;E by Cluster'!$B$6:$C$9,2,FALSE))</f>
        <v>1280531.9243647223</v>
      </c>
      <c r="AA29" s="249">
        <f>'AB1058'!E27</f>
        <v>269673.75</v>
      </c>
      <c r="AB29" s="90">
        <f t="shared" si="4"/>
        <v>7775001.8517393731</v>
      </c>
      <c r="AC29" s="91">
        <f t="shared" si="1"/>
        <v>2.8604660373139916E-3</v>
      </c>
      <c r="AD29" s="55">
        <f t="shared" si="5"/>
        <v>125403.2556732157</v>
      </c>
    </row>
    <row r="30" spans="1:30" ht="20.100000000000001" customHeight="1" x14ac:dyDescent="0.3">
      <c r="A30" s="65">
        <v>2</v>
      </c>
      <c r="B30" s="66" t="s">
        <v>28</v>
      </c>
      <c r="D30" s="67">
        <f>RAS!M30</f>
        <v>120</v>
      </c>
      <c r="E30" s="67">
        <f>RAS!Q30</f>
        <v>27</v>
      </c>
      <c r="F30" s="68">
        <f t="shared" si="0"/>
        <v>147</v>
      </c>
      <c r="H30" s="71">
        <f>(F30-1)*'AVG RAS salary'!$F$66</f>
        <v>11047331.968750658</v>
      </c>
      <c r="I30" s="71">
        <f>(F30-1)*(VLOOKUP(B30,'FTE Allotment Factor'!$B$6:$D$63,3))</f>
        <v>8777449.5564352032</v>
      </c>
      <c r="J30" s="71">
        <f>(F30-1)*(VLOOKUP(B30,'FTE Allotment Factor'!$B$6:$H$63,7))</f>
        <v>8777449.5564352032</v>
      </c>
      <c r="K30" s="249">
        <f>VLOOKUP(A30,'CEO Salary'!$G$7:$H$13,2)</f>
        <v>207427.72710829088</v>
      </c>
      <c r="L30" s="249">
        <f t="shared" si="6"/>
        <v>164807.79399489085</v>
      </c>
      <c r="N30" s="85">
        <f>VLOOKUP(B30,BLS!$B$5:$I$64,8, FALSE)</f>
        <v>0.79453116655349731</v>
      </c>
      <c r="O30" s="90">
        <f t="shared" si="7"/>
        <v>8942257.3504300937</v>
      </c>
      <c r="Q30" s="87">
        <f>VLOOKUP(B30,'Program 10'!$A$7:$G$64,6)</f>
        <v>0.47540447059516161</v>
      </c>
      <c r="R30" s="8">
        <f>VLOOKUP(B30,'Program 10'!$A$7:$G$64,7)</f>
        <v>17514.395538613851</v>
      </c>
      <c r="S30" s="87">
        <f>VLOOKUP(B30,'Program 90'!$A$7:$G$64,6)</f>
        <v>0.50441845705210442</v>
      </c>
      <c r="T30" s="8">
        <f>VLOOKUP(B30,'Program 90'!$A$7:$G$64,7)</f>
        <v>18090.311694444445</v>
      </c>
      <c r="U30" s="72">
        <f>(D30*VLOOKUP(B30,'FTE Allotment Factor'!$B$7:$H$64,7,FALSE)*Q30)+(D30*R30)</f>
        <v>5531457.9519373449</v>
      </c>
      <c r="V30" s="72">
        <f>((((E30-1)*VLOOKUP(B30,'FTE Allotment Factor'!$B$7:$H$64,7,FALSE))+(K30*N30))*S30)+(T30*E30)</f>
        <v>1360030.7596937271</v>
      </c>
      <c r="W30" s="90">
        <f t="shared" si="3"/>
        <v>6891488.7116310718</v>
      </c>
      <c r="Y30" s="90">
        <f>F30*(VLOOKUP(A30, 'OE&amp;E by Cluster'!$B$6:$C$9,2,FALSE))</f>
        <v>3036099.8851873255</v>
      </c>
      <c r="AA30" s="249">
        <f>'AB1058'!E28</f>
        <v>605803.34000000008</v>
      </c>
      <c r="AB30" s="90">
        <f t="shared" si="4"/>
        <v>18264042.607248489</v>
      </c>
      <c r="AC30" s="91">
        <f t="shared" si="1"/>
        <v>6.7194419471941829E-3</v>
      </c>
      <c r="AD30" s="55">
        <f t="shared" si="5"/>
        <v>124245.18780441149</v>
      </c>
    </row>
    <row r="31" spans="1:30" ht="20.100000000000001" customHeight="1" x14ac:dyDescent="0.3">
      <c r="A31" s="65">
        <v>1</v>
      </c>
      <c r="B31" s="66" t="s">
        <v>13</v>
      </c>
      <c r="D31" s="67">
        <f>RAS!M31</f>
        <v>8</v>
      </c>
      <c r="E31" s="67">
        <f>RAS!Q31</f>
        <v>3</v>
      </c>
      <c r="F31" s="68">
        <f t="shared" si="0"/>
        <v>11</v>
      </c>
      <c r="H31" s="71">
        <f>(F31-1)*'AVG RAS salary'!$F$66</f>
        <v>756666.57320209988</v>
      </c>
      <c r="I31" s="71">
        <f>(F31-1)*(VLOOKUP(B31,'FTE Allotment Factor'!$B$6:$D$63,3))</f>
        <v>418331.41961131897</v>
      </c>
      <c r="J31" s="71">
        <f>(F31-1)*(VLOOKUP(B31,'FTE Allotment Factor'!$B$6:$H$63,7))</f>
        <v>580580.9556544919</v>
      </c>
      <c r="K31" s="249">
        <f>VLOOKUP(A31,'CEO Salary'!$G$7:$H$13,2)</f>
        <v>143214.08755555557</v>
      </c>
      <c r="L31" s="249">
        <f t="shared" si="6"/>
        <v>79177.480117723579</v>
      </c>
      <c r="N31" s="85">
        <f>VLOOKUP(B31,BLS!$B$5:$I$64,8, FALSE)</f>
        <v>0.55286097526550293</v>
      </c>
      <c r="O31" s="90">
        <f t="shared" si="7"/>
        <v>659758.43577221548</v>
      </c>
      <c r="Q31" s="87">
        <f>VLOOKUP(B31,'Program 10'!$A$7:$G$64,6)</f>
        <v>0.34691780918753334</v>
      </c>
      <c r="R31" s="8">
        <f>VLOOKUP(B31,'Program 10'!$A$7:$G$64,7)</f>
        <v>18304.325875500002</v>
      </c>
      <c r="S31" s="87">
        <f>VLOOKUP(B31,'Program 90'!$A$7:$G$64,6)</f>
        <v>0.36370000000000002</v>
      </c>
      <c r="T31" s="8">
        <f>VLOOKUP(B31,'Program 90'!$A$7:$G$64,7)</f>
        <v>20724.189342000001</v>
      </c>
      <c r="U31" s="72">
        <f>(D31*VLOOKUP(B31,'FTE Allotment Factor'!$B$7:$H$64,7,FALSE)*Q31)+(D31*R31)</f>
        <v>307565.70555732865</v>
      </c>
      <c r="V31" s="72">
        <f>((((E31-1)*VLOOKUP(B31,'FTE Allotment Factor'!$B$7:$H$64,7,FALSE))+(K31*N31))*S31)+(T31*E31)</f>
        <v>133200.87625912382</v>
      </c>
      <c r="W31" s="90">
        <f t="shared" si="3"/>
        <v>440766.58181645244</v>
      </c>
      <c r="Y31" s="90">
        <f>F31*(VLOOKUP(A31, 'OE&amp;E by Cluster'!$B$6:$C$9,2,FALSE))</f>
        <v>452252.06536542252</v>
      </c>
      <c r="AA31" s="249">
        <f>'AB1058'!E29</f>
        <v>71818</v>
      </c>
      <c r="AB31" s="90">
        <f t="shared" si="4"/>
        <v>1480959.0829540906</v>
      </c>
      <c r="AC31" s="91">
        <f t="shared" si="1"/>
        <v>5.448530097126791E-4</v>
      </c>
      <c r="AD31" s="55">
        <f t="shared" si="5"/>
        <v>134632.64390491732</v>
      </c>
    </row>
    <row r="32" spans="1:30" ht="20.100000000000001" customHeight="1" x14ac:dyDescent="0.3">
      <c r="A32" s="65">
        <v>1</v>
      </c>
      <c r="B32" s="66" t="s">
        <v>14</v>
      </c>
      <c r="D32" s="67">
        <f>RAS!M32</f>
        <v>9</v>
      </c>
      <c r="E32" s="67">
        <f>RAS!Q32</f>
        <v>4</v>
      </c>
      <c r="F32" s="68">
        <f t="shared" si="0"/>
        <v>13</v>
      </c>
      <c r="H32" s="71">
        <f>(F32-1)*'AVG RAS salary'!$F$66</f>
        <v>907999.88784251979</v>
      </c>
      <c r="I32" s="71">
        <f>(F32-1)*(VLOOKUP(B32,'FTE Allotment Factor'!$B$6:$D$63,3))</f>
        <v>811162.46217432106</v>
      </c>
      <c r="J32" s="71">
        <f>(F32-1)*(VLOOKUP(B32,'FTE Allotment Factor'!$B$6:$H$63,7))</f>
        <v>811162.46217432106</v>
      </c>
      <c r="K32" s="249">
        <f>VLOOKUP(A32,'CEO Salary'!$G$7:$H$13,2)</f>
        <v>143214.08755555557</v>
      </c>
      <c r="L32" s="249">
        <f t="shared" si="6"/>
        <v>127940.42536243281</v>
      </c>
      <c r="N32" s="85">
        <f>VLOOKUP(B32,BLS!$B$5:$I$64,8, FALSE)</f>
        <v>0.89335083961486816</v>
      </c>
      <c r="O32" s="90">
        <f t="shared" si="7"/>
        <v>939102.8875367539</v>
      </c>
      <c r="Q32" s="87">
        <f>VLOOKUP(B32,'Program 10'!$A$7:$G$64,6)</f>
        <v>0.30483611644819819</v>
      </c>
      <c r="R32" s="8">
        <f>VLOOKUP(B32,'Program 10'!$A$7:$G$64,7)</f>
        <v>23171.477590429178</v>
      </c>
      <c r="S32" s="87">
        <f>VLOOKUP(B32,'Program 90'!$A$7:$G$64,6)</f>
        <v>0.31162333037106482</v>
      </c>
      <c r="T32" s="8">
        <f>VLOOKUP(B32,'Program 90'!$A$7:$G$64,7)</f>
        <v>30253.375450130654</v>
      </c>
      <c r="U32" s="72">
        <f>(D32*VLOOKUP(B32,'FTE Allotment Factor'!$B$7:$H$64,7,FALSE)*Q32)+(D32*R32)</f>
        <v>393997.00939719647</v>
      </c>
      <c r="V32" s="72">
        <f>((((E32-1)*VLOOKUP(B32,'FTE Allotment Factor'!$B$7:$H$64,7,FALSE))+(K32*N32))*S32)+(T32*E32)</f>
        <v>224077.01022474328</v>
      </c>
      <c r="W32" s="90">
        <f t="shared" si="3"/>
        <v>618074.01962193975</v>
      </c>
      <c r="Y32" s="90">
        <f>F32*(VLOOKUP(A32, 'OE&amp;E by Cluster'!$B$6:$C$9,2,FALSE))</f>
        <v>534479.71361368115</v>
      </c>
      <c r="AA32" s="249">
        <f>'AB1058'!E30</f>
        <v>52885.55</v>
      </c>
      <c r="AB32" s="90">
        <f t="shared" si="4"/>
        <v>2038771.0707723747</v>
      </c>
      <c r="AC32" s="91">
        <f t="shared" si="1"/>
        <v>7.5007511470855765E-4</v>
      </c>
      <c r="AD32" s="55">
        <f t="shared" si="5"/>
        <v>156828.54390556729</v>
      </c>
    </row>
    <row r="33" spans="1:30" ht="20.100000000000001" customHeight="1" x14ac:dyDescent="0.3">
      <c r="A33" s="65">
        <v>3</v>
      </c>
      <c r="B33" s="66" t="s">
        <v>44</v>
      </c>
      <c r="D33" s="67">
        <f>RAS!M33</f>
        <v>167</v>
      </c>
      <c r="E33" s="67">
        <f>RAS!Q33</f>
        <v>29</v>
      </c>
      <c r="F33" s="68">
        <f t="shared" si="0"/>
        <v>196</v>
      </c>
      <c r="H33" s="71">
        <f>(F33-1)*'AVG RAS salary'!$F$66</f>
        <v>14754998.177440947</v>
      </c>
      <c r="I33" s="71">
        <f>(F33-1)*(VLOOKUP(B33,'FTE Allotment Factor'!$B$6:$D$63,3))</f>
        <v>16829307.687511761</v>
      </c>
      <c r="J33" s="71">
        <f>(F33-1)*(VLOOKUP(B33,'FTE Allotment Factor'!$B$6:$H$63,7))</f>
        <v>16829307.687511761</v>
      </c>
      <c r="K33" s="249">
        <f>VLOOKUP(A33,'CEO Salary'!$G$7:$H$13,2)</f>
        <v>244000.49625956637</v>
      </c>
      <c r="L33" s="249">
        <f t="shared" si="6"/>
        <v>278302.94372628629</v>
      </c>
      <c r="N33" s="85">
        <f>VLOOKUP(B33,BLS!$B$5:$I$64,8, FALSE)</f>
        <v>1.1405835151672363</v>
      </c>
      <c r="O33" s="90">
        <f t="shared" si="7"/>
        <v>17107610.631238047</v>
      </c>
      <c r="Q33" s="87">
        <f>VLOOKUP(B33,'Program 10'!$A$7:$G$64,6)</f>
        <v>0.1685749827341276</v>
      </c>
      <c r="R33" s="8">
        <f>VLOOKUP(B33,'Program 10'!$A$7:$G$64,7)</f>
        <v>25954.904779943165</v>
      </c>
      <c r="S33" s="87">
        <f>VLOOKUP(B33,'Program 90'!$A$7:$G$64,6)</f>
        <v>0.16777123649988979</v>
      </c>
      <c r="T33" s="8">
        <f>VLOOKUP(B33,'Program 90'!$A$7:$G$64,7)</f>
        <v>27399.460032941191</v>
      </c>
      <c r="U33" s="72">
        <f>(D33*VLOOKUP(B33,'FTE Allotment Factor'!$B$7:$H$64,7,FALSE)*Q33)+(D33*R33)</f>
        <v>6764105.2122294102</v>
      </c>
      <c r="V33" s="72">
        <f>((((E33-1)*VLOOKUP(B33,'FTE Allotment Factor'!$B$7:$H$64,7,FALSE))+(K33*N33))*S33)+(T33*E33)</f>
        <v>1246697.4432011286</v>
      </c>
      <c r="W33" s="90">
        <f t="shared" si="3"/>
        <v>8010802.6554305386</v>
      </c>
      <c r="Y33" s="90">
        <f>F33*(VLOOKUP(A33, 'OE&amp;E by Cluster'!$B$6:$C$9,2,FALSE))</f>
        <v>4048133.1802497674</v>
      </c>
      <c r="AA33" s="249">
        <f>'AB1058'!E31</f>
        <v>605562.89</v>
      </c>
      <c r="AB33" s="90">
        <f t="shared" si="4"/>
        <v>28560983.576918349</v>
      </c>
      <c r="AC33" s="91">
        <f t="shared" si="1"/>
        <v>1.0507743287003943E-2</v>
      </c>
      <c r="AD33" s="55">
        <f t="shared" si="5"/>
        <v>145719.30396386911</v>
      </c>
    </row>
    <row r="34" spans="1:30" ht="20.100000000000001" customHeight="1" x14ac:dyDescent="0.3">
      <c r="A34" s="65">
        <v>2</v>
      </c>
      <c r="B34" s="66" t="s">
        <v>29</v>
      </c>
      <c r="D34" s="67">
        <f>RAS!M34</f>
        <v>53</v>
      </c>
      <c r="E34" s="67">
        <f>RAS!Q34</f>
        <v>12</v>
      </c>
      <c r="F34" s="68">
        <f t="shared" si="0"/>
        <v>65</v>
      </c>
      <c r="H34" s="71">
        <f>(F34-1)*'AVG RAS salary'!$F$66</f>
        <v>4842666.0684934389</v>
      </c>
      <c r="I34" s="71">
        <f>(F34-1)*(VLOOKUP(B34,'FTE Allotment Factor'!$B$6:$D$63,3))</f>
        <v>6098248.1175850425</v>
      </c>
      <c r="J34" s="71">
        <f>(F34-1)*(VLOOKUP(B34,'FTE Allotment Factor'!$B$6:$H$63,7))</f>
        <v>6098248.1175850425</v>
      </c>
      <c r="K34" s="249">
        <f>VLOOKUP(A34,'CEO Salary'!$G$7:$H$13,2)</f>
        <v>207427.72710829088</v>
      </c>
      <c r="L34" s="249">
        <f t="shared" si="6"/>
        <v>261208.54266678877</v>
      </c>
      <c r="N34" s="85">
        <f>VLOOKUP(B34,BLS!$B$5:$I$64,8, FALSE)</f>
        <v>1.259274959564209</v>
      </c>
      <c r="O34" s="90">
        <f t="shared" si="7"/>
        <v>6359456.6602518316</v>
      </c>
      <c r="Q34" s="87">
        <f>VLOOKUP(B34,'Program 10'!$A$7:$G$64,6)</f>
        <v>0.28164207797803653</v>
      </c>
      <c r="R34" s="8">
        <f>VLOOKUP(B34,'Program 10'!$A$7:$G$64,7)</f>
        <v>22440.107848101252</v>
      </c>
      <c r="S34" s="87">
        <f>VLOOKUP(B34,'Program 90'!$A$7:$G$64,6)</f>
        <v>0.27756664723115593</v>
      </c>
      <c r="T34" s="8">
        <f>VLOOKUP(B34,'Program 90'!$A$7:$G$64,7)</f>
        <v>20650.314782608697</v>
      </c>
      <c r="U34" s="72">
        <f>(D34*VLOOKUP(B34,'FTE Allotment Factor'!$B$7:$H$64,7,FALSE)*Q34)+(D34*R34)</f>
        <v>2611649.6754603344</v>
      </c>
      <c r="V34" s="72">
        <f>((((E34-1)*VLOOKUP(B34,'FTE Allotment Factor'!$B$7:$H$64,7,FALSE))+(K34*N34))*S34)+(T34*E34)</f>
        <v>611234.2618668311</v>
      </c>
      <c r="W34" s="90">
        <f t="shared" si="3"/>
        <v>3222883.9373271656</v>
      </c>
      <c r="Y34" s="90">
        <f>F34*(VLOOKUP(A34, 'OE&amp;E by Cluster'!$B$6:$C$9,2,FALSE))</f>
        <v>1342493.1465114024</v>
      </c>
      <c r="AA34" s="249">
        <f>'AB1058'!E32</f>
        <v>184699.68</v>
      </c>
      <c r="AB34" s="90">
        <f t="shared" si="4"/>
        <v>10740134.064090399</v>
      </c>
      <c r="AC34" s="91">
        <f t="shared" si="1"/>
        <v>3.9513545221415989E-3</v>
      </c>
      <c r="AD34" s="55">
        <f t="shared" si="5"/>
        <v>165232.8317552369</v>
      </c>
    </row>
    <row r="35" spans="1:30" ht="20.100000000000001" customHeight="1" x14ac:dyDescent="0.3">
      <c r="A35" s="65">
        <v>2</v>
      </c>
      <c r="B35" s="66" t="s">
        <v>30</v>
      </c>
      <c r="D35" s="67">
        <f>RAS!M35</f>
        <v>38</v>
      </c>
      <c r="E35" s="67">
        <f>RAS!Q35</f>
        <v>9</v>
      </c>
      <c r="F35" s="68">
        <f t="shared" si="0"/>
        <v>47</v>
      </c>
      <c r="H35" s="71">
        <f>(F35-1)*'AVG RAS salary'!$F$66</f>
        <v>3480666.2367296591</v>
      </c>
      <c r="I35" s="71">
        <f>(F35-1)*(VLOOKUP(B35,'FTE Allotment Factor'!$B$6:$D$63,3))</f>
        <v>3725125.4844019646</v>
      </c>
      <c r="J35" s="71">
        <f>(F35-1)*(VLOOKUP(B35,'FTE Allotment Factor'!$B$6:$H$63,7))</f>
        <v>3725125.4844019646</v>
      </c>
      <c r="K35" s="249">
        <f>VLOOKUP(A35,'CEO Salary'!$G$7:$H$13,2)</f>
        <v>207427.72710829088</v>
      </c>
      <c r="L35" s="249">
        <f t="shared" si="6"/>
        <v>221996.0949627487</v>
      </c>
      <c r="N35" s="85">
        <f>VLOOKUP(B35,BLS!$B$5:$I$64,8, FALSE)</f>
        <v>1.0702334642410278</v>
      </c>
      <c r="O35" s="90">
        <f t="shared" si="7"/>
        <v>3947121.5793647133</v>
      </c>
      <c r="Q35" s="87">
        <f>VLOOKUP(B35,'Program 10'!$A$7:$G$64,6)</f>
        <v>0.48135699369617152</v>
      </c>
      <c r="R35" s="8">
        <f>VLOOKUP(B35,'Program 10'!$A$7:$G$64,7)</f>
        <v>18998.075966562184</v>
      </c>
      <c r="S35" s="87">
        <f>VLOOKUP(B35,'Program 90'!$A$7:$G$64,6)</f>
        <v>0.48260000000000003</v>
      </c>
      <c r="T35" s="8">
        <f>VLOOKUP(B35,'Program 90'!$A$7:$G$64,7)</f>
        <v>21892.752857142856</v>
      </c>
      <c r="U35" s="72">
        <f>(D35*VLOOKUP(B35,'FTE Allotment Factor'!$B$7:$H$64,7,FALSE)*Q35)+(D35*R35)</f>
        <v>2203195.9685529182</v>
      </c>
      <c r="V35" s="72">
        <f>((((E35-1)*VLOOKUP(B35,'FTE Allotment Factor'!$B$7:$H$64,7,FALSE))+(K35*N35))*S35)+(T35*E35)</f>
        <v>616821.49266894092</v>
      </c>
      <c r="W35" s="90">
        <f t="shared" si="3"/>
        <v>2820017.4612218589</v>
      </c>
      <c r="Y35" s="90">
        <f>F35*(VLOOKUP(A35, 'OE&amp;E by Cluster'!$B$6:$C$9,2,FALSE))</f>
        <v>970725.81363132177</v>
      </c>
      <c r="AA35" s="249">
        <f>'AB1058'!E33</f>
        <v>312213.19000000006</v>
      </c>
      <c r="AB35" s="90">
        <f t="shared" si="4"/>
        <v>7425651.664217894</v>
      </c>
      <c r="AC35" s="91">
        <f t="shared" si="1"/>
        <v>2.7319381776954236E-3</v>
      </c>
      <c r="AD35" s="55">
        <f t="shared" si="5"/>
        <v>157992.58860038072</v>
      </c>
    </row>
    <row r="36" spans="1:30" ht="20.100000000000001" customHeight="1" x14ac:dyDescent="0.3">
      <c r="A36" s="65">
        <v>4</v>
      </c>
      <c r="B36" s="66" t="s">
        <v>55</v>
      </c>
      <c r="D36" s="67">
        <f>RAS!M36</f>
        <v>1080</v>
      </c>
      <c r="E36" s="67">
        <f>RAS!Q36</f>
        <v>198</v>
      </c>
      <c r="F36" s="68">
        <f t="shared" si="0"/>
        <v>1278</v>
      </c>
      <c r="H36" s="71">
        <f>(F36-1)*'AVG RAS salary'!$F$66</f>
        <v>96626321.397908151</v>
      </c>
      <c r="I36" s="71">
        <f>(F36-1)*(VLOOKUP(B36,'FTE Allotment Factor'!$B$6:$D$63,3))</f>
        <v>119255549.3739761</v>
      </c>
      <c r="J36" s="71">
        <f>(F36-1)*(VLOOKUP(B36,'FTE Allotment Factor'!$B$6:$H$63,7))</f>
        <v>119255549.3739761</v>
      </c>
      <c r="K36" s="249">
        <f>VLOOKUP(A36,'CEO Salary'!$G$7:$H$13,2)</f>
        <v>311352.57949999999</v>
      </c>
      <c r="L36" s="249">
        <f t="shared" si="6"/>
        <v>384269.23823761445</v>
      </c>
      <c r="N36" s="85">
        <f>VLOOKUP(B36,BLS!$B$5:$I$64,8, FALSE)</f>
        <v>1.2341932058334351</v>
      </c>
      <c r="O36" s="90">
        <f t="shared" si="7"/>
        <v>119639818.61221372</v>
      </c>
      <c r="Q36" s="87">
        <f>VLOOKUP(B36,'Program 10'!$A$7:$G$64,6)</f>
        <v>0.4095355383634886</v>
      </c>
      <c r="R36" s="8">
        <f>VLOOKUP(B36,'Program 10'!$A$7:$G$64,7)</f>
        <v>13630.878466341408</v>
      </c>
      <c r="S36" s="87">
        <f>VLOOKUP(B36,'Program 90'!$A$7:$G$64,6)</f>
        <v>0.41379109678981968</v>
      </c>
      <c r="T36" s="8">
        <f>VLOOKUP(B36,'Program 90'!$A$7:$G$64,7)</f>
        <v>14275.998283074092</v>
      </c>
      <c r="U36" s="72">
        <f>(D36*VLOOKUP(B36,'FTE Allotment Factor'!$B$7:$H$64,7,FALSE)*Q36)+(D36*R36)</f>
        <v>56026389.045106269</v>
      </c>
      <c r="V36" s="72">
        <f>((((E36-1)*VLOOKUP(B36,'FTE Allotment Factor'!$B$7:$H$64,7,FALSE))+(K36*N36))*S36)+(T36*E36)</f>
        <v>10598290.919315636</v>
      </c>
      <c r="W36" s="90">
        <f t="shared" si="3"/>
        <v>66624679.964421906</v>
      </c>
      <c r="Y36" s="90">
        <f>F36*(VLOOKUP(A36, 'OE&amp;E by Cluster'!$B$6:$C$9,2,FALSE))</f>
        <v>26395480.634485729</v>
      </c>
      <c r="AA36" s="249">
        <f>'AB1058'!E34</f>
        <v>3133692.53</v>
      </c>
      <c r="AB36" s="90">
        <f t="shared" si="4"/>
        <v>209526286.68112135</v>
      </c>
      <c r="AC36" s="91">
        <f t="shared" si="1"/>
        <v>7.7085875785583444E-2</v>
      </c>
      <c r="AD36" s="55">
        <f t="shared" si="5"/>
        <v>163948.581127638</v>
      </c>
    </row>
    <row r="37" spans="1:30" ht="20.100000000000001" customHeight="1" x14ac:dyDescent="0.3">
      <c r="A37" s="65">
        <v>2</v>
      </c>
      <c r="B37" s="66" t="s">
        <v>31</v>
      </c>
      <c r="D37" s="67">
        <f>RAS!M37</f>
        <v>135</v>
      </c>
      <c r="E37" s="67">
        <f>RAS!Q37</f>
        <v>29</v>
      </c>
      <c r="F37" s="68">
        <f t="shared" si="0"/>
        <v>164</v>
      </c>
      <c r="H37" s="71">
        <f>(F37-1)*'AVG RAS salary'!$F$66</f>
        <v>12333665.143194227</v>
      </c>
      <c r="I37" s="71">
        <f>(F37-1)*(VLOOKUP(B37,'FTE Allotment Factor'!$B$6:$D$63,3))</f>
        <v>14271456.965323169</v>
      </c>
      <c r="J37" s="71">
        <f>(F37-1)*(VLOOKUP(B37,'FTE Allotment Factor'!$B$6:$H$63,7))</f>
        <v>14271456.965323169</v>
      </c>
      <c r="K37" s="249">
        <f>VLOOKUP(A37,'CEO Salary'!$G$7:$H$13,2)</f>
        <v>207427.72710829088</v>
      </c>
      <c r="L37" s="249">
        <f t="shared" si="6"/>
        <v>240017.53302620479</v>
      </c>
      <c r="N37" s="85">
        <f>VLOOKUP(B37,BLS!$B$5:$I$64,8, FALSE)</f>
        <v>1.1571140289306641</v>
      </c>
      <c r="O37" s="90">
        <f t="shared" si="7"/>
        <v>14511474.498349374</v>
      </c>
      <c r="Q37" s="87">
        <f>VLOOKUP(B37,'Program 10'!$A$7:$G$64,6)</f>
        <v>0.38202963568133658</v>
      </c>
      <c r="R37" s="8">
        <f>VLOOKUP(B37,'Program 10'!$A$7:$G$64,7)</f>
        <v>25902.746415249192</v>
      </c>
      <c r="S37" s="87">
        <f>VLOOKUP(B37,'Program 90'!$A$7:$G$64,6)</f>
        <v>0.38617577576396356</v>
      </c>
      <c r="T37" s="8">
        <f>VLOOKUP(B37,'Program 90'!$A$7:$G$64,7)</f>
        <v>25942.939811268876</v>
      </c>
      <c r="U37" s="72">
        <f>(D37*VLOOKUP(B37,'FTE Allotment Factor'!$B$7:$H$64,7,FALSE)*Q37)+(D37*R37)</f>
        <v>8012429.8653781395</v>
      </c>
      <c r="V37" s="72">
        <f>((((E37-1)*VLOOKUP(B37,'FTE Allotment Factor'!$B$7:$H$64,7,FALSE))+(K37*N37))*S37)+(T37*E37)</f>
        <v>1791759.0398606327</v>
      </c>
      <c r="W37" s="90">
        <f t="shared" si="3"/>
        <v>9804188.9052387718</v>
      </c>
      <c r="Y37" s="90">
        <f>F37*(VLOOKUP(A37, 'OE&amp;E by Cluster'!$B$6:$C$9,2,FALSE))</f>
        <v>3387213.4773518462</v>
      </c>
      <c r="AA37" s="249">
        <f>'AB1058'!E35</f>
        <v>347217.58999999997</v>
      </c>
      <c r="AB37" s="90">
        <f t="shared" si="4"/>
        <v>27355659.29093999</v>
      </c>
      <c r="AC37" s="91">
        <f t="shared" si="1"/>
        <v>1.0064297838406459E-2</v>
      </c>
      <c r="AD37" s="55">
        <f t="shared" si="5"/>
        <v>166802.80055451213</v>
      </c>
    </row>
    <row r="38" spans="1:30" ht="20.100000000000001" customHeight="1" x14ac:dyDescent="0.3">
      <c r="A38" s="65">
        <v>1</v>
      </c>
      <c r="B38" s="66" t="s">
        <v>15</v>
      </c>
      <c r="D38" s="67">
        <f>RAS!M38</f>
        <v>9</v>
      </c>
      <c r="E38" s="67">
        <f>RAS!Q38</f>
        <v>3</v>
      </c>
      <c r="F38" s="68">
        <f t="shared" si="0"/>
        <v>12</v>
      </c>
      <c r="H38" s="71">
        <f>(F38-1)*'AVG RAS salary'!$F$66</f>
        <v>832333.23052230978</v>
      </c>
      <c r="I38" s="71">
        <f>(F38-1)*(VLOOKUP(B38,'FTE Allotment Factor'!$B$6:$D$63,3))</f>
        <v>590394.18634764862</v>
      </c>
      <c r="J38" s="71">
        <f>(F38-1)*(VLOOKUP(B38,'FTE Allotment Factor'!$B$6:$H$63,7))</f>
        <v>638639.051219941</v>
      </c>
      <c r="K38" s="249">
        <f>VLOOKUP(A38,'CEO Salary'!$G$7:$H$13,2)</f>
        <v>143214.08755555557</v>
      </c>
      <c r="L38" s="249">
        <f t="shared" si="6"/>
        <v>101585.23244689409</v>
      </c>
      <c r="N38" s="85">
        <f>VLOOKUP(B38,BLS!$B$5:$I$64,8, FALSE)</f>
        <v>0.70932430028915405</v>
      </c>
      <c r="O38" s="90">
        <f t="shared" si="7"/>
        <v>740224.28366683505</v>
      </c>
      <c r="Q38" s="87">
        <f>VLOOKUP(B38,'Program 10'!$A$7:$G$64,6)</f>
        <v>0.35309999999999997</v>
      </c>
      <c r="R38" s="8">
        <f>VLOOKUP(B38,'Program 10'!$A$7:$G$64,7)</f>
        <v>19937.363548387097</v>
      </c>
      <c r="S38" s="87">
        <f>VLOOKUP(B38,'Program 90'!$A$7:$G$64,6)</f>
        <v>0.35310000000000002</v>
      </c>
      <c r="T38" s="8">
        <f>VLOOKUP(B38,'Program 90'!$A$7:$G$64,7)</f>
        <v>30683.170000000002</v>
      </c>
      <c r="U38" s="72">
        <f>(D38*VLOOKUP(B38,'FTE Allotment Factor'!$B$7:$H$64,7,FALSE)*Q38)+(D38*R38)</f>
        <v>363939.09383292485</v>
      </c>
      <c r="V38" s="72">
        <f>((((E38-1)*VLOOKUP(B38,'FTE Allotment Factor'!$B$7:$H$64,7,FALSE))+(K38*N38))*S38)+(T38*E38)</f>
        <v>168919.88266531855</v>
      </c>
      <c r="W38" s="90">
        <f t="shared" si="3"/>
        <v>532858.9764982434</v>
      </c>
      <c r="Y38" s="90">
        <f>F38*(VLOOKUP(A38, 'OE&amp;E by Cluster'!$B$6:$C$9,2,FALSE))</f>
        <v>493365.88948955189</v>
      </c>
      <c r="AA38" s="249">
        <f>'AB1058'!E36</f>
        <v>137200.94</v>
      </c>
      <c r="AB38" s="90">
        <f t="shared" si="4"/>
        <v>1629248.2096546306</v>
      </c>
      <c r="AC38" s="91">
        <f t="shared" si="1"/>
        <v>5.9940939680022069E-4</v>
      </c>
      <c r="AD38" s="55">
        <f t="shared" si="5"/>
        <v>135770.6841378859</v>
      </c>
    </row>
    <row r="39" spans="1:30" ht="20.100000000000001" customHeight="1" x14ac:dyDescent="0.3">
      <c r="A39" s="65">
        <v>4</v>
      </c>
      <c r="B39" s="66" t="s">
        <v>56</v>
      </c>
      <c r="D39" s="67">
        <f>RAS!M39</f>
        <v>863</v>
      </c>
      <c r="E39" s="67">
        <f>RAS!Q39</f>
        <v>157</v>
      </c>
      <c r="F39" s="68">
        <f t="shared" ref="F39:F64" si="8">SUM(D39:E39)</f>
        <v>1020</v>
      </c>
      <c r="H39" s="71">
        <f>(F39-1)*'AVG RAS salary'!$F$66</f>
        <v>77104323.80929397</v>
      </c>
      <c r="I39" s="71">
        <f>(F39-1)*(VLOOKUP(B39,'FTE Allotment Factor'!$B$6:$D$63,3))</f>
        <v>82397095.003168538</v>
      </c>
      <c r="J39" s="71">
        <f>(F39-1)*(VLOOKUP(B39,'FTE Allotment Factor'!$B$6:$H$63,7))</f>
        <v>82397095.003168538</v>
      </c>
      <c r="K39" s="249">
        <f>VLOOKUP(A39,'CEO Salary'!$G$7:$H$13,2)</f>
        <v>311352.57949999999</v>
      </c>
      <c r="L39" s="249">
        <f t="shared" si="6"/>
        <v>332725.15476558456</v>
      </c>
      <c r="N39" s="85">
        <f>VLOOKUP(B39,BLS!$B$5:$I$64,8, FALSE)</f>
        <v>1.0686442852020264</v>
      </c>
      <c r="O39" s="90">
        <f t="shared" si="7"/>
        <v>82729820.157934129</v>
      </c>
      <c r="Q39" s="87">
        <f>VLOOKUP(B39,'Program 10'!$A$7:$G$64,6)</f>
        <v>0.38815742355834976</v>
      </c>
      <c r="R39" s="8">
        <f>VLOOKUP(B39,'Program 10'!$A$7:$G$64,7)</f>
        <v>21027.465366797445</v>
      </c>
      <c r="S39" s="87">
        <f>VLOOKUP(B39,'Program 90'!$A$7:$G$64,6)</f>
        <v>0.38654041988770099</v>
      </c>
      <c r="T39" s="8">
        <f>VLOOKUP(B39,'Program 90'!$A$7:$G$64,7)</f>
        <v>23193.17437023787</v>
      </c>
      <c r="U39" s="72">
        <f>(D39*VLOOKUP(B39,'FTE Allotment Factor'!$B$7:$H$64,7,FALSE)*Q39)+(D39*R39)</f>
        <v>45233422.005776517</v>
      </c>
      <c r="V39" s="72">
        <f>((((E39-1)*VLOOKUP(B39,'FTE Allotment Factor'!$B$7:$H$64,7,FALSE))+(K39*N39))*S39)+(T39*E39)</f>
        <v>8645867.478127256</v>
      </c>
      <c r="W39" s="90">
        <f t="shared" ref="W39:W64" si="9">SUM(U39:V39)</f>
        <v>53879289.483903773</v>
      </c>
      <c r="Y39" s="90">
        <f>F39*(VLOOKUP(A39, 'OE&amp;E by Cluster'!$B$6:$C$9,2,FALSE))</f>
        <v>21066815.52987124</v>
      </c>
      <c r="AA39" s="249">
        <f>'AB1058'!E37</f>
        <v>1984761.6999999997</v>
      </c>
      <c r="AB39" s="90">
        <f t="shared" ref="AB39:AB64" si="10">(O39+W39+Y39)-AA39</f>
        <v>155691163.47170913</v>
      </c>
      <c r="AC39" s="91">
        <f t="shared" ref="AC39:AC64" si="11">AB39/$AB$65</f>
        <v>5.7279637215918354E-2</v>
      </c>
      <c r="AD39" s="55">
        <f t="shared" si="5"/>
        <v>152638.39556049914</v>
      </c>
    </row>
    <row r="40" spans="1:30" ht="20.100000000000001" customHeight="1" x14ac:dyDescent="0.3">
      <c r="A40" s="65">
        <v>4</v>
      </c>
      <c r="B40" s="66" t="s">
        <v>57</v>
      </c>
      <c r="D40" s="67">
        <f>RAS!M40</f>
        <v>568</v>
      </c>
      <c r="E40" s="67">
        <f>RAS!Q40</f>
        <v>101</v>
      </c>
      <c r="F40" s="68">
        <f t="shared" si="8"/>
        <v>669</v>
      </c>
      <c r="H40" s="71">
        <f>(F40-1)*'AVG RAS salary'!$F$66</f>
        <v>50545327.08990027</v>
      </c>
      <c r="I40" s="71">
        <f>(F40-1)*(VLOOKUP(B40,'FTE Allotment Factor'!$B$6:$D$63,3))</f>
        <v>66056363.603850283</v>
      </c>
      <c r="J40" s="71">
        <f>(F40-1)*(VLOOKUP(B40,'FTE Allotment Factor'!$B$6:$H$63,7))</f>
        <v>66056363.603850283</v>
      </c>
      <c r="K40" s="249">
        <f>VLOOKUP(A40,'CEO Salary'!$G$7:$H$13,2)</f>
        <v>311352.57949999999</v>
      </c>
      <c r="L40" s="249">
        <f t="shared" si="6"/>
        <v>406898.52820357488</v>
      </c>
      <c r="N40" s="85">
        <f>VLOOKUP(B40,BLS!$B$5:$I$64,8, FALSE)</f>
        <v>1.3068737983703613</v>
      </c>
      <c r="O40" s="90">
        <f t="shared" si="7"/>
        <v>66463262.13205386</v>
      </c>
      <c r="Q40" s="87">
        <f>VLOOKUP(B40,'Program 10'!$A$7:$G$64,6)</f>
        <v>0.41266545578744618</v>
      </c>
      <c r="R40" s="8">
        <f>VLOOKUP(B40,'Program 10'!$A$7:$G$64,7)</f>
        <v>25034.172994113997</v>
      </c>
      <c r="S40" s="87">
        <f>VLOOKUP(B40,'Program 90'!$A$7:$G$64,6)</f>
        <v>0.42776651846676578</v>
      </c>
      <c r="T40" s="8">
        <f>VLOOKUP(B40,'Program 90'!$A$7:$G$64,7)</f>
        <v>25088.876332420343</v>
      </c>
      <c r="U40" s="72">
        <f>(D40*VLOOKUP(B40,'FTE Allotment Factor'!$B$7:$H$64,7,FALSE)*Q40)+(D40*R40)</f>
        <v>37397874.176720634</v>
      </c>
      <c r="V40" s="72">
        <f>((((E40-1)*VLOOKUP(B40,'FTE Allotment Factor'!$B$7:$H$64,7,FALSE))+(K40*N40))*S40)+(T40*E40)</f>
        <v>6938079.0885380525</v>
      </c>
      <c r="W40" s="90">
        <f t="shared" si="9"/>
        <v>44335953.265258685</v>
      </c>
      <c r="Y40" s="90">
        <f>F40*(VLOOKUP(A40, 'OE&amp;E by Cluster'!$B$6:$C$9,2,FALSE))</f>
        <v>13817352.538709665</v>
      </c>
      <c r="AA40" s="249">
        <f>'AB1058'!E38</f>
        <v>2284303.89</v>
      </c>
      <c r="AB40" s="90">
        <f t="shared" si="10"/>
        <v>122332264.04602222</v>
      </c>
      <c r="AC40" s="91">
        <f t="shared" si="11"/>
        <v>4.5006714241886722E-2</v>
      </c>
      <c r="AD40" s="55">
        <f t="shared" si="5"/>
        <v>182858.39169809001</v>
      </c>
    </row>
    <row r="41" spans="1:30" ht="20.100000000000001" customHeight="1" x14ac:dyDescent="0.3">
      <c r="A41" s="65">
        <v>1</v>
      </c>
      <c r="B41" s="66" t="s">
        <v>16</v>
      </c>
      <c r="D41" s="67">
        <f>RAS!M41</f>
        <v>23</v>
      </c>
      <c r="E41" s="67">
        <f>RAS!Q41</f>
        <v>7</v>
      </c>
      <c r="F41" s="68">
        <f t="shared" si="8"/>
        <v>30</v>
      </c>
      <c r="H41" s="71">
        <f>(F41-1)*'AVG RAS salary'!$F$66</f>
        <v>2194333.0622860896</v>
      </c>
      <c r="I41" s="71">
        <f>(F41-1)*(VLOOKUP(B41,'FTE Allotment Factor'!$B$6:$D$63,3))</f>
        <v>2226621.5310296789</v>
      </c>
      <c r="J41" s="71">
        <f>(F41-1)*(VLOOKUP(B41,'FTE Allotment Factor'!$B$6:$H$63,7))</f>
        <v>2226621.5310296789</v>
      </c>
      <c r="K41" s="249">
        <f>VLOOKUP(A41,'CEO Salary'!$G$7:$H$13,2)</f>
        <v>143214.08755555557</v>
      </c>
      <c r="L41" s="249">
        <f t="shared" si="6"/>
        <v>145321.40830332832</v>
      </c>
      <c r="N41" s="85">
        <f>VLOOKUP(B41,BLS!$B$5:$I$64,8, FALSE)</f>
        <v>1.0147144794464111</v>
      </c>
      <c r="O41" s="90">
        <f t="shared" si="7"/>
        <v>2371942.9393330072</v>
      </c>
      <c r="Q41" s="87">
        <f>VLOOKUP(B41,'Program 10'!$A$7:$G$64,6)</f>
        <v>0.17379999999999995</v>
      </c>
      <c r="R41" s="8">
        <f>VLOOKUP(B41,'Program 10'!$A$7:$G$64,7)</f>
        <v>11940.139066058837</v>
      </c>
      <c r="S41" s="87">
        <f>VLOOKUP(B41,'Program 90'!$A$7:$G$64,6)</f>
        <v>0.17380000000000001</v>
      </c>
      <c r="T41" s="8">
        <f>VLOOKUP(B41,'Program 90'!$A$7:$G$64,7)</f>
        <v>11009.739943333334</v>
      </c>
      <c r="U41" s="72">
        <f>(D41*VLOOKUP(B41,'FTE Allotment Factor'!$B$7:$H$64,7,FALSE)*Q41)+(D41*R41)</f>
        <v>581543.78155859583</v>
      </c>
      <c r="V41" s="72">
        <f>((((E41-1)*VLOOKUP(B41,'FTE Allotment Factor'!$B$7:$H$64,7,FALSE))+(K41*N41))*S41)+(T41*E41)</f>
        <v>182391.27942016727</v>
      </c>
      <c r="W41" s="90">
        <f t="shared" si="9"/>
        <v>763935.06097876304</v>
      </c>
      <c r="Y41" s="90">
        <f>F41*(VLOOKUP(A41, 'OE&amp;E by Cluster'!$B$6:$C$9,2,FALSE))</f>
        <v>1233414.7237238795</v>
      </c>
      <c r="AA41" s="249">
        <f>'AB1058'!E39</f>
        <v>172200.83000000002</v>
      </c>
      <c r="AB41" s="90">
        <f t="shared" si="10"/>
        <v>4197091.8940356504</v>
      </c>
      <c r="AC41" s="91">
        <f t="shared" si="11"/>
        <v>1.5441332423205801E-3</v>
      </c>
      <c r="AD41" s="55">
        <f t="shared" si="5"/>
        <v>139903.06313452168</v>
      </c>
    </row>
    <row r="42" spans="1:30" ht="20.100000000000001" customHeight="1" x14ac:dyDescent="0.3">
      <c r="A42" s="65">
        <v>4</v>
      </c>
      <c r="B42" s="66" t="s">
        <v>58</v>
      </c>
      <c r="D42" s="67">
        <f>RAS!M42</f>
        <v>932</v>
      </c>
      <c r="E42" s="67">
        <f>RAS!Q42</f>
        <v>164</v>
      </c>
      <c r="F42" s="68">
        <f t="shared" si="8"/>
        <v>1096</v>
      </c>
      <c r="H42" s="71">
        <f>(F42-1)*'AVG RAS salary'!$F$66</f>
        <v>82854989.765629932</v>
      </c>
      <c r="I42" s="71">
        <f>(F42-1)*(VLOOKUP(B42,'FTE Allotment Factor'!$B$6:$D$63,3))</f>
        <v>93771074.377528101</v>
      </c>
      <c r="J42" s="71">
        <f>(F42-1)*(VLOOKUP(B42,'FTE Allotment Factor'!$B$6:$H$63,7))</f>
        <v>93771074.377528101</v>
      </c>
      <c r="K42" s="249">
        <f>VLOOKUP(A42,'CEO Salary'!$G$7:$H$13,2)</f>
        <v>311352.57949999999</v>
      </c>
      <c r="L42" s="249">
        <f t="shared" si="6"/>
        <v>352373.05529232969</v>
      </c>
      <c r="N42" s="85">
        <f>VLOOKUP(B42,BLS!$B$5:$I$64,8, FALSE)</f>
        <v>1.1317492723464966</v>
      </c>
      <c r="O42" s="90">
        <f t="shared" si="7"/>
        <v>94123447.432820424</v>
      </c>
      <c r="Q42" s="87">
        <f>VLOOKUP(B42,'Program 10'!$A$7:$G$64,6)</f>
        <v>0.28395927769168805</v>
      </c>
      <c r="R42" s="8">
        <f>VLOOKUP(B42,'Program 10'!$A$7:$G$64,7)</f>
        <v>14978.054368071695</v>
      </c>
      <c r="S42" s="87">
        <f>VLOOKUP(B42,'Program 90'!$A$7:$G$64,6)</f>
        <v>0.31840600141525927</v>
      </c>
      <c r="T42" s="8">
        <f>VLOOKUP(B42,'Program 90'!$A$7:$G$64,7)</f>
        <v>17438.351886602664</v>
      </c>
      <c r="U42" s="72">
        <f>(D42*VLOOKUP(B42,'FTE Allotment Factor'!$B$7:$H$64,7,FALSE)*Q42)+(D42*R42)</f>
        <v>36623034.546212241</v>
      </c>
      <c r="V42" s="72">
        <f>((((E42-1)*VLOOKUP(B42,'FTE Allotment Factor'!$B$7:$H$64,7,FALSE))+(K42*N42))*S42)+(T42*E42)</f>
        <v>7416594.6862935657</v>
      </c>
      <c r="W42" s="90">
        <f t="shared" si="9"/>
        <v>44039629.232505806</v>
      </c>
      <c r="Y42" s="90">
        <f>F42*(VLOOKUP(A42, 'OE&amp;E by Cluster'!$B$6:$C$9,2,FALSE))</f>
        <v>22636499.824253801</v>
      </c>
      <c r="AA42" s="249">
        <f>'AB1058'!E40</f>
        <v>4159481.89</v>
      </c>
      <c r="AB42" s="90">
        <f t="shared" si="10"/>
        <v>156640094.59958005</v>
      </c>
      <c r="AC42" s="91">
        <f t="shared" si="11"/>
        <v>5.7628754208400815E-2</v>
      </c>
      <c r="AD42" s="55">
        <f t="shared" si="5"/>
        <v>142919.79434268252</v>
      </c>
    </row>
    <row r="43" spans="1:30" ht="20.100000000000001" customHeight="1" x14ac:dyDescent="0.3">
      <c r="A43" s="65">
        <v>4</v>
      </c>
      <c r="B43" s="66" t="s">
        <v>59</v>
      </c>
      <c r="D43" s="67">
        <f>RAS!M43</f>
        <v>926</v>
      </c>
      <c r="E43" s="67">
        <f>RAS!Q43</f>
        <v>161</v>
      </c>
      <c r="F43" s="68">
        <f t="shared" si="8"/>
        <v>1087</v>
      </c>
      <c r="H43" s="71">
        <f>(F43-1)*'AVG RAS salary'!$F$66</f>
        <v>82173989.849748045</v>
      </c>
      <c r="I43" s="71">
        <f>(F43-1)*(VLOOKUP(B43,'FTE Allotment Factor'!$B$6:$D$63,3))</f>
        <v>95998888.907018378</v>
      </c>
      <c r="J43" s="71">
        <f>(F43-1)*(VLOOKUP(B43,'FTE Allotment Factor'!$B$6:$H$63,7))</f>
        <v>95998888.907018378</v>
      </c>
      <c r="K43" s="249">
        <f>VLOOKUP(A43,'CEO Salary'!$G$7:$H$13,2)</f>
        <v>311352.57949999999</v>
      </c>
      <c r="L43" s="249">
        <f t="shared" si="6"/>
        <v>363734.33667984116</v>
      </c>
      <c r="N43" s="85">
        <f>VLOOKUP(B43,BLS!$B$5:$I$64,8, FALSE)</f>
        <v>1.1682393550872803</v>
      </c>
      <c r="O43" s="90">
        <f t="shared" si="7"/>
        <v>96362623.243698224</v>
      </c>
      <c r="Q43" s="87">
        <f>VLOOKUP(B43,'Program 10'!$A$7:$G$64,6)</f>
        <v>0.51913094841469065</v>
      </c>
      <c r="R43" s="8">
        <f>VLOOKUP(B43,'Program 10'!$A$7:$G$64,7)</f>
        <v>22374.74460031512</v>
      </c>
      <c r="S43" s="87">
        <f>VLOOKUP(B43,'Program 90'!$A$7:$G$64,6)</f>
        <v>0.5305337624426234</v>
      </c>
      <c r="T43" s="8">
        <f>VLOOKUP(B43,'Program 90'!$A$7:$G$64,7)</f>
        <v>22625.683604656169</v>
      </c>
      <c r="U43" s="72">
        <f>(D43*VLOOKUP(B43,'FTE Allotment Factor'!$B$7:$H$64,7,FALSE)*Q43)+(D43*R43)</f>
        <v>63212688.150833569</v>
      </c>
      <c r="V43" s="72">
        <f>((((E43-1)*VLOOKUP(B43,'FTE Allotment Factor'!$B$7:$H$64,7,FALSE))+(K43*N43))*S43)+(T43*E43)</f>
        <v>11339303.503704252</v>
      </c>
      <c r="W43" s="90">
        <f t="shared" si="9"/>
        <v>74551991.654537827</v>
      </c>
      <c r="Y43" s="90">
        <f>F43*(VLOOKUP(A43, 'OE&amp;E by Cluster'!$B$6:$C$9,2,FALSE))</f>
        <v>22450616.157813761</v>
      </c>
      <c r="AA43" s="249">
        <f>'AB1058'!E41</f>
        <v>3864878</v>
      </c>
      <c r="AB43" s="90">
        <f t="shared" si="10"/>
        <v>189500353.05604979</v>
      </c>
      <c r="AC43" s="91">
        <f t="shared" si="11"/>
        <v>6.9718224421332464E-2</v>
      </c>
      <c r="AD43" s="55">
        <f t="shared" si="5"/>
        <v>174333.35147750672</v>
      </c>
    </row>
    <row r="44" spans="1:30" ht="20.100000000000001" customHeight="1" x14ac:dyDescent="0.3">
      <c r="A44" s="65">
        <v>3</v>
      </c>
      <c r="B44" s="66" t="s">
        <v>60</v>
      </c>
      <c r="D44" s="67">
        <f>RAS!M44</f>
        <v>223</v>
      </c>
      <c r="E44" s="67">
        <f>RAS!Q44</f>
        <v>41</v>
      </c>
      <c r="F44" s="68">
        <f t="shared" si="8"/>
        <v>264</v>
      </c>
      <c r="H44" s="71">
        <f>(F44-1)*'AVG RAS salary'!$F$66</f>
        <v>19900330.875215225</v>
      </c>
      <c r="I44" s="71">
        <f>(F44-1)*(VLOOKUP(B44,'FTE Allotment Factor'!$B$6:$D$63,3))</f>
        <v>32727562.922268339</v>
      </c>
      <c r="J44" s="71">
        <f>(F44-1)*(VLOOKUP(B44,'FTE Allotment Factor'!$B$6:$H$63,7))</f>
        <v>32727562.922268339</v>
      </c>
      <c r="K44" s="249">
        <f>VLOOKUP(A44,'CEO Salary'!$G$7:$H$13,2)</f>
        <v>244000.49625956637</v>
      </c>
      <c r="L44" s="249">
        <f t="shared" si="6"/>
        <v>401276.82521827886</v>
      </c>
      <c r="N44" s="85">
        <f>VLOOKUP(B44,BLS!$B$5:$I$64,8, FALSE)</f>
        <v>1.6445738077163696</v>
      </c>
      <c r="O44" s="90">
        <f t="shared" si="7"/>
        <v>33128839.747486617</v>
      </c>
      <c r="Q44" s="87">
        <f>VLOOKUP(B44,'Program 10'!$A$7:$G$64,6)</f>
        <v>0.24535942581181988</v>
      </c>
      <c r="R44" s="8">
        <f>VLOOKUP(B44,'Program 10'!$A$7:$G$64,7)</f>
        <v>37093.043102308882</v>
      </c>
      <c r="S44" s="87">
        <f>VLOOKUP(B44,'Program 90'!$A$7:$G$64,6)</f>
        <v>0.24324102687185956</v>
      </c>
      <c r="T44" s="8">
        <f>VLOOKUP(B44,'Program 90'!$A$7:$G$64,7)</f>
        <v>37112.220197512186</v>
      </c>
      <c r="U44" s="72">
        <f>(D44*VLOOKUP(B44,'FTE Allotment Factor'!$B$7:$H$64,7,FALSE)*Q44)+(D44*R44)</f>
        <v>15080469.442395248</v>
      </c>
      <c r="V44" s="72">
        <f>((((E44-1)*VLOOKUP(B44,'FTE Allotment Factor'!$B$7:$H$64,7,FALSE))+(K44*N44))*S44)+(T44*E44)</f>
        <v>2829958.7394168931</v>
      </c>
      <c r="W44" s="90">
        <f t="shared" si="9"/>
        <v>17910428.181812141</v>
      </c>
      <c r="Y44" s="90">
        <f>F44*(VLOOKUP(A44, 'OE&amp;E by Cluster'!$B$6:$C$9,2,FALSE))</f>
        <v>5452587.5489078499</v>
      </c>
      <c r="AA44" s="249">
        <f>'AB1058'!E42</f>
        <v>1186741.9300000002</v>
      </c>
      <c r="AB44" s="90">
        <f t="shared" si="10"/>
        <v>55305113.548206605</v>
      </c>
      <c r="AC44" s="91">
        <f t="shared" si="11"/>
        <v>2.0347056117941346E-2</v>
      </c>
      <c r="AD44" s="55">
        <f t="shared" si="5"/>
        <v>209489.06647047956</v>
      </c>
    </row>
    <row r="45" spans="1:30" ht="20.100000000000001" customHeight="1" x14ac:dyDescent="0.3">
      <c r="A45" s="65">
        <v>3</v>
      </c>
      <c r="B45" s="66" t="s">
        <v>45</v>
      </c>
      <c r="D45" s="67">
        <f>RAS!M45</f>
        <v>301</v>
      </c>
      <c r="E45" s="67">
        <f>RAS!Q45</f>
        <v>50</v>
      </c>
      <c r="F45" s="68">
        <f t="shared" si="8"/>
        <v>351</v>
      </c>
      <c r="H45" s="71">
        <f>(F45-1)*'AVG RAS salary'!$F$66</f>
        <v>26483330.062073495</v>
      </c>
      <c r="I45" s="71">
        <f>(F45-1)*(VLOOKUP(B45,'FTE Allotment Factor'!$B$6:$D$63,3))</f>
        <v>27457759.467642218</v>
      </c>
      <c r="J45" s="71">
        <f>(F45-1)*(VLOOKUP(B45,'FTE Allotment Factor'!$B$6:$H$63,7))</f>
        <v>27457759.467642218</v>
      </c>
      <c r="K45" s="249">
        <f>VLOOKUP(A45,'CEO Salary'!$G$7:$H$13,2)</f>
        <v>244000.49625956637</v>
      </c>
      <c r="L45" s="249">
        <f t="shared" si="6"/>
        <v>252978.26672768354</v>
      </c>
      <c r="N45" s="85">
        <f>VLOOKUP(B45,BLS!$B$5:$I$64,8, FALSE)</f>
        <v>1.0367940664291382</v>
      </c>
      <c r="O45" s="90">
        <f t="shared" si="7"/>
        <v>27710737.7343699</v>
      </c>
      <c r="Q45" s="87">
        <f>VLOOKUP(B45,'Program 10'!$A$7:$G$64,6)</f>
        <v>0.50066066791369956</v>
      </c>
      <c r="R45" s="8">
        <f>VLOOKUP(B45,'Program 10'!$A$7:$G$64,7)</f>
        <v>16182.1829475263</v>
      </c>
      <c r="S45" s="87">
        <f>VLOOKUP(B45,'Program 90'!$A$7:$G$64,6)</f>
        <v>0.53753770446678639</v>
      </c>
      <c r="T45" s="8">
        <f>VLOOKUP(B45,'Program 90'!$A$7:$G$64,7)</f>
        <v>13539.564532979193</v>
      </c>
      <c r="U45" s="72">
        <f>(D45*VLOOKUP(B45,'FTE Allotment Factor'!$B$7:$H$64,7,FALSE)*Q45)+(D45*R45)</f>
        <v>16693274.434461193</v>
      </c>
      <c r="V45" s="72">
        <f>((((E45-1)*VLOOKUP(B45,'FTE Allotment Factor'!$B$7:$H$64,7,FALSE))+(K45*N45))*S45)+(T45*E45)</f>
        <v>2879304.922591005</v>
      </c>
      <c r="W45" s="90">
        <f t="shared" si="9"/>
        <v>19572579.3570522</v>
      </c>
      <c r="Y45" s="90">
        <f>F45*(VLOOKUP(A45, 'OE&amp;E by Cluster'!$B$6:$C$9,2,FALSE))</f>
        <v>7249462.9911615737</v>
      </c>
      <c r="AA45" s="249">
        <f>'AB1058'!E43</f>
        <v>999126.64999999991</v>
      </c>
      <c r="AB45" s="90">
        <f t="shared" si="10"/>
        <v>53533653.432583667</v>
      </c>
      <c r="AC45" s="91">
        <f t="shared" si="11"/>
        <v>1.9695326177058808E-2</v>
      </c>
      <c r="AD45" s="55">
        <f t="shared" si="5"/>
        <v>152517.53114696202</v>
      </c>
    </row>
    <row r="46" spans="1:30" ht="20.100000000000001" customHeight="1" x14ac:dyDescent="0.3">
      <c r="A46" s="65">
        <v>2</v>
      </c>
      <c r="B46" s="66" t="s">
        <v>32</v>
      </c>
      <c r="D46" s="67">
        <f>RAS!M46</f>
        <v>110</v>
      </c>
      <c r="E46" s="67">
        <f>RAS!Q46</f>
        <v>23</v>
      </c>
      <c r="F46" s="68">
        <f t="shared" si="8"/>
        <v>133</v>
      </c>
      <c r="H46" s="71">
        <f>(F46-1)*'AVG RAS salary'!$F$66</f>
        <v>9987998.7662677169</v>
      </c>
      <c r="I46" s="71">
        <f>(F46-1)*(VLOOKUP(B46,'FTE Allotment Factor'!$B$6:$D$63,3))</f>
        <v>10236971.002665179</v>
      </c>
      <c r="J46" s="71">
        <f>(F46-1)*(VLOOKUP(B46,'FTE Allotment Factor'!$B$6:$H$63,7))</f>
        <v>10236971.002665179</v>
      </c>
      <c r="K46" s="249">
        <f>VLOOKUP(A46,'CEO Salary'!$G$7:$H$13,2)</f>
        <v>207427.72710829088</v>
      </c>
      <c r="L46" s="249">
        <f t="shared" si="6"/>
        <v>212598.30695291492</v>
      </c>
      <c r="N46" s="85">
        <f>VLOOKUP(B46,BLS!$B$5:$I$64,8, FALSE)</f>
        <v>1.0249271392822266</v>
      </c>
      <c r="O46" s="90">
        <f t="shared" si="7"/>
        <v>10449569.309618093</v>
      </c>
      <c r="Q46" s="87">
        <f>VLOOKUP(B46,'Program 10'!$A$7:$G$64,6)</f>
        <v>0.46112549525477925</v>
      </c>
      <c r="R46" s="8">
        <f>VLOOKUP(B46,'Program 10'!$A$7:$G$64,7)</f>
        <v>12570.117111942964</v>
      </c>
      <c r="S46" s="87">
        <f>VLOOKUP(B46,'Program 90'!$A$7:$G$64,6)</f>
        <v>0.49078295384796944</v>
      </c>
      <c r="T46" s="8">
        <f>VLOOKUP(B46,'Program 90'!$A$7:$G$64,7)</f>
        <v>12642.651282105269</v>
      </c>
      <c r="U46" s="72">
        <f>(D46*VLOOKUP(B46,'FTE Allotment Factor'!$B$7:$H$64,7,FALSE)*Q46)+(D46*R46)</f>
        <v>5316486.4852410555</v>
      </c>
      <c r="V46" s="72">
        <f>((((E46-1)*VLOOKUP(B46,'FTE Allotment Factor'!$B$7:$H$64,7,FALSE))+(K46*N46))*S46)+(T46*E46)</f>
        <v>1232475.7490818545</v>
      </c>
      <c r="W46" s="90">
        <f t="shared" si="9"/>
        <v>6548962.2343229102</v>
      </c>
      <c r="Y46" s="90">
        <f>F46*(VLOOKUP(A46, 'OE&amp;E by Cluster'!$B$6:$C$9,2,FALSE))</f>
        <v>2746947.515169485</v>
      </c>
      <c r="AA46" s="249">
        <f>'AB1058'!E44</f>
        <v>252996.80000000002</v>
      </c>
      <c r="AB46" s="90">
        <f t="shared" si="10"/>
        <v>19492482.259110488</v>
      </c>
      <c r="AC46" s="91">
        <f t="shared" si="11"/>
        <v>7.1713916663128938E-3</v>
      </c>
      <c r="AD46" s="55">
        <f t="shared" si="5"/>
        <v>146560.01698579313</v>
      </c>
    </row>
    <row r="47" spans="1:30" ht="20.100000000000001" customHeight="1" x14ac:dyDescent="0.3">
      <c r="A47" s="65">
        <v>3</v>
      </c>
      <c r="B47" s="66" t="s">
        <v>46</v>
      </c>
      <c r="D47" s="67">
        <f>RAS!M47</f>
        <v>208</v>
      </c>
      <c r="E47" s="67">
        <f>RAS!Q47</f>
        <v>36</v>
      </c>
      <c r="F47" s="68">
        <f t="shared" si="8"/>
        <v>244</v>
      </c>
      <c r="H47" s="71">
        <f>(F47-1)*'AVG RAS salary'!$F$66</f>
        <v>18386997.728811026</v>
      </c>
      <c r="I47" s="71">
        <f>(F47-1)*(VLOOKUP(B47,'FTE Allotment Factor'!$B$6:$D$63,3))</f>
        <v>29547519.45288809</v>
      </c>
      <c r="J47" s="71">
        <f>(F47-1)*(VLOOKUP(B47,'FTE Allotment Factor'!$B$6:$H$63,7))</f>
        <v>29547519.45288809</v>
      </c>
      <c r="K47" s="249">
        <f>VLOOKUP(A47,'CEO Salary'!$G$7:$H$13,2)</f>
        <v>244000.49625956637</v>
      </c>
      <c r="L47" s="249">
        <f t="shared" si="6"/>
        <v>392103.67652610171</v>
      </c>
      <c r="N47" s="85">
        <f>VLOOKUP(B47,BLS!$B$5:$I$64,8, FALSE)</f>
        <v>1.6069790124893188</v>
      </c>
      <c r="O47" s="90">
        <f t="shared" si="7"/>
        <v>29939623.129414193</v>
      </c>
      <c r="Q47" s="87">
        <f>VLOOKUP(B47,'Program 10'!$A$7:$G$64,6)</f>
        <v>0.33437676890498702</v>
      </c>
      <c r="R47" s="8">
        <f>VLOOKUP(B47,'Program 10'!$A$7:$G$64,7)</f>
        <v>19069.999999999996</v>
      </c>
      <c r="S47" s="87">
        <f>VLOOKUP(B47,'Program 90'!$A$7:$G$64,6)</f>
        <v>0.33469636527234259</v>
      </c>
      <c r="T47" s="8">
        <f>VLOOKUP(B47,'Program 90'!$A$7:$G$64,7)</f>
        <v>19069.999999999996</v>
      </c>
      <c r="U47" s="72">
        <f>(D47*VLOOKUP(B47,'FTE Allotment Factor'!$B$7:$H$64,7,FALSE)*Q47)+(D47*R47)</f>
        <v>12423518.228120599</v>
      </c>
      <c r="V47" s="72">
        <f>((((E47-1)*VLOOKUP(B47,'FTE Allotment Factor'!$B$7:$H$64,7,FALSE))+(K47*N47))*S47)+(T47*E47)</f>
        <v>2242161.6742293886</v>
      </c>
      <c r="W47" s="90">
        <f t="shared" si="9"/>
        <v>14665679.902349988</v>
      </c>
      <c r="Y47" s="90">
        <f>F47*(VLOOKUP(A47, 'OE&amp;E by Cluster'!$B$6:$C$9,2,FALSE))</f>
        <v>5039512.7345966492</v>
      </c>
      <c r="AA47" s="249">
        <f>'AB1058'!E45</f>
        <v>611525.53999999992</v>
      </c>
      <c r="AB47" s="90">
        <f t="shared" si="10"/>
        <v>49033290.226360828</v>
      </c>
      <c r="AC47" s="91">
        <f t="shared" si="11"/>
        <v>1.8039617747343379E-2</v>
      </c>
      <c r="AD47" s="55">
        <f t="shared" si="5"/>
        <v>200956.10748508535</v>
      </c>
    </row>
    <row r="48" spans="1:30" ht="20.100000000000001" customHeight="1" x14ac:dyDescent="0.3">
      <c r="A48" s="65">
        <v>3</v>
      </c>
      <c r="B48" s="66" t="s">
        <v>47</v>
      </c>
      <c r="D48" s="67">
        <f>RAS!M48</f>
        <v>151</v>
      </c>
      <c r="E48" s="67">
        <f>RAS!Q48</f>
        <v>28</v>
      </c>
      <c r="F48" s="68">
        <f t="shared" si="8"/>
        <v>179</v>
      </c>
      <c r="H48" s="71">
        <f>(F48-1)*'AVG RAS salary'!$F$66</f>
        <v>13468665.002997376</v>
      </c>
      <c r="I48" s="71">
        <f>(F48-1)*(VLOOKUP(B48,'FTE Allotment Factor'!$B$6:$D$63,3))</f>
        <v>16336380.376737997</v>
      </c>
      <c r="J48" s="71">
        <f>(F48-1)*(VLOOKUP(B48,'FTE Allotment Factor'!$B$6:$H$63,7))</f>
        <v>16336380.376737997</v>
      </c>
      <c r="K48" s="249">
        <f>VLOOKUP(A48,'CEO Salary'!$G$7:$H$13,2)</f>
        <v>244000.49625956637</v>
      </c>
      <c r="L48" s="249">
        <f t="shared" si="6"/>
        <v>295952.48809900851</v>
      </c>
      <c r="N48" s="85">
        <f>VLOOKUP(B48,BLS!$B$5:$I$64,8, FALSE)</f>
        <v>1.2129175662994385</v>
      </c>
      <c r="O48" s="90">
        <f t="shared" si="7"/>
        <v>16632332.864837006</v>
      </c>
      <c r="Q48" s="87">
        <f>VLOOKUP(B48,'Program 10'!$A$7:$G$64,6)</f>
        <v>0.42266265030328326</v>
      </c>
      <c r="R48" s="8">
        <f>VLOOKUP(B48,'Program 10'!$A$7:$G$64,7)</f>
        <v>13161.237525372175</v>
      </c>
      <c r="S48" s="87">
        <f>VLOOKUP(B48,'Program 90'!$A$7:$G$64,6)</f>
        <v>0.42987422533752834</v>
      </c>
      <c r="T48" s="8">
        <f>VLOOKUP(B48,'Program 90'!$A$7:$G$64,7)</f>
        <v>15496.96437846154</v>
      </c>
      <c r="U48" s="72">
        <f>(D48*VLOOKUP(B48,'FTE Allotment Factor'!$B$7:$H$64,7,FALSE)*Q48)+(D48*R48)</f>
        <v>7844770.7527670935</v>
      </c>
      <c r="V48" s="72">
        <f>((((E48-1)*VLOOKUP(B48,'FTE Allotment Factor'!$B$7:$H$64,7,FALSE))+(K48*N48))*S48)+(T48*E48)</f>
        <v>1626361.5019657323</v>
      </c>
      <c r="W48" s="90">
        <f t="shared" si="9"/>
        <v>9471132.2547328249</v>
      </c>
      <c r="Y48" s="90">
        <f>F48*(VLOOKUP(A48, 'OE&amp;E by Cluster'!$B$6:$C$9,2,FALSE))</f>
        <v>3697019.5880852467</v>
      </c>
      <c r="AA48" s="249">
        <f>'AB1058'!E46</f>
        <v>742482.2300000001</v>
      </c>
      <c r="AB48" s="90">
        <f t="shared" si="10"/>
        <v>29058002.477655075</v>
      </c>
      <c r="AC48" s="91">
        <f t="shared" si="11"/>
        <v>1.0690599280169074E-2</v>
      </c>
      <c r="AD48" s="55">
        <f t="shared" si="5"/>
        <v>162335.20937237472</v>
      </c>
    </row>
    <row r="49" spans="1:30" ht="20.100000000000001" customHeight="1" x14ac:dyDescent="0.3">
      <c r="A49" s="65">
        <v>4</v>
      </c>
      <c r="B49" s="66" t="s">
        <v>61</v>
      </c>
      <c r="D49" s="67">
        <f>RAS!M49</f>
        <v>429</v>
      </c>
      <c r="E49" s="67">
        <f>RAS!Q49</f>
        <v>73</v>
      </c>
      <c r="F49" s="68">
        <f t="shared" si="8"/>
        <v>502</v>
      </c>
      <c r="H49" s="71">
        <f>(F49-1)*'AVG RAS salary'!$F$66</f>
        <v>37908995.317425199</v>
      </c>
      <c r="I49" s="71">
        <f>(F49-1)*(VLOOKUP(B49,'FTE Allotment Factor'!$B$6:$D$63,3))</f>
        <v>56612357.306455776</v>
      </c>
      <c r="J49" s="71">
        <f>(F49-1)*(VLOOKUP(B49,'FTE Allotment Factor'!$B$6:$H$63,7))</f>
        <v>56612357.306455776</v>
      </c>
      <c r="K49" s="249">
        <f>VLOOKUP(A49,'CEO Salary'!$G$7:$H$13,2)</f>
        <v>311352.57949999999</v>
      </c>
      <c r="L49" s="249">
        <f t="shared" si="6"/>
        <v>464966.25224036333</v>
      </c>
      <c r="N49" s="85">
        <f>VLOOKUP(B49,BLS!$B$5:$I$64,8, FALSE)</f>
        <v>1.493375301361084</v>
      </c>
      <c r="O49" s="90">
        <f t="shared" si="7"/>
        <v>57077323.558696136</v>
      </c>
      <c r="Q49" s="87">
        <f>VLOOKUP(B49,'Program 10'!$A$7:$G$64,6)</f>
        <v>0.35068386359495485</v>
      </c>
      <c r="R49" s="8">
        <f>VLOOKUP(B49,'Program 10'!$A$7:$G$64,7)</f>
        <v>23172.295971838699</v>
      </c>
      <c r="S49" s="87">
        <f>VLOOKUP(B49,'Program 90'!$A$7:$G$64,6)</f>
        <v>0.34900687035089245</v>
      </c>
      <c r="T49" s="8">
        <f>VLOOKUP(B49,'Program 90'!$A$7:$G$64,7)</f>
        <v>23110.596883773702</v>
      </c>
      <c r="U49" s="72">
        <f>(D49*VLOOKUP(B49,'FTE Allotment Factor'!$B$7:$H$64,7,FALSE)*Q49)+(D49*R49)</f>
        <v>26940823.635420453</v>
      </c>
      <c r="V49" s="72">
        <f>((((E49-1)*VLOOKUP(B49,'FTE Allotment Factor'!$B$7:$H$64,7,FALSE))+(K49*N49))*S49)+(T49*E49)</f>
        <v>4688837.6508316826</v>
      </c>
      <c r="W49" s="90">
        <f t="shared" si="9"/>
        <v>31629661.286252134</v>
      </c>
      <c r="Y49" s="90">
        <f>F49*(VLOOKUP(A49, 'OE&amp;E by Cluster'!$B$6:$C$9,2,FALSE))</f>
        <v>10368177.83921114</v>
      </c>
      <c r="AA49" s="249">
        <f>'AB1058'!E47</f>
        <v>1721123.4100000001</v>
      </c>
      <c r="AB49" s="90">
        <f t="shared" si="10"/>
        <v>97354039.274159402</v>
      </c>
      <c r="AC49" s="91">
        <f t="shared" si="11"/>
        <v>3.581708766754392E-2</v>
      </c>
      <c r="AD49" s="55">
        <f t="shared" si="5"/>
        <v>193932.34915171197</v>
      </c>
    </row>
    <row r="50" spans="1:30" ht="20.100000000000001" customHeight="1" x14ac:dyDescent="0.3">
      <c r="A50" s="65">
        <v>2</v>
      </c>
      <c r="B50" s="66" t="s">
        <v>33</v>
      </c>
      <c r="D50" s="67">
        <f>RAS!M50</f>
        <v>89</v>
      </c>
      <c r="E50" s="67">
        <f>RAS!Q50</f>
        <v>21</v>
      </c>
      <c r="F50" s="68">
        <f t="shared" si="8"/>
        <v>110</v>
      </c>
      <c r="H50" s="71">
        <f>(F50-1)*'AVG RAS salary'!$F$66</f>
        <v>8247665.6479028882</v>
      </c>
      <c r="I50" s="71">
        <f>(F50-1)*(VLOOKUP(B50,'FTE Allotment Factor'!$B$6:$D$63,3))</f>
        <v>9190082.908568684</v>
      </c>
      <c r="J50" s="71">
        <f>(F50-1)*(VLOOKUP(B50,'FTE Allotment Factor'!$B$6:$H$63,7))</f>
        <v>9190082.908568684</v>
      </c>
      <c r="K50" s="249">
        <f>VLOOKUP(A50,'CEO Salary'!$G$7:$H$13,2)</f>
        <v>207427.72710829088</v>
      </c>
      <c r="L50" s="249">
        <f t="shared" si="6"/>
        <v>231129.39964362609</v>
      </c>
      <c r="N50" s="85">
        <f>VLOOKUP(B50,BLS!$B$5:$I$64,8, FALSE)</f>
        <v>1.1142647266387939</v>
      </c>
      <c r="O50" s="90">
        <f t="shared" si="7"/>
        <v>9421212.3082123101</v>
      </c>
      <c r="Q50" s="87">
        <f>VLOOKUP(B50,'Program 10'!$A$7:$G$64,6)</f>
        <v>0.36744493400641343</v>
      </c>
      <c r="R50" s="8">
        <f>VLOOKUP(B50,'Program 10'!$A$7:$G$64,7)</f>
        <v>18823.913331515723</v>
      </c>
      <c r="S50" s="87">
        <f>VLOOKUP(B50,'Program 90'!$A$7:$G$64,6)</f>
        <v>0.36541813079915708</v>
      </c>
      <c r="T50" s="8">
        <f>VLOOKUP(B50,'Program 90'!$A$7:$G$64,7)</f>
        <v>22070.724492862006</v>
      </c>
      <c r="U50" s="72">
        <f>(D50*VLOOKUP(B50,'FTE Allotment Factor'!$B$7:$H$64,7,FALSE)*Q50)+(D50*R50)</f>
        <v>4432572.298421151</v>
      </c>
      <c r="V50" s="72">
        <f>((((E50-1)*VLOOKUP(B50,'FTE Allotment Factor'!$B$7:$H$64,7,FALSE))+(K50*N50))*S50)+(T50*E50)</f>
        <v>1164131.7789788549</v>
      </c>
      <c r="W50" s="90">
        <f t="shared" si="9"/>
        <v>5596704.0774000064</v>
      </c>
      <c r="Y50" s="90">
        <f>F50*(VLOOKUP(A50, 'OE&amp;E by Cluster'!$B$6:$C$9,2,FALSE))</f>
        <v>2271911.4787116041</v>
      </c>
      <c r="AA50" s="249">
        <f>'AB1058'!E48</f>
        <v>349037.83999999997</v>
      </c>
      <c r="AB50" s="90">
        <f t="shared" si="10"/>
        <v>16940790.024323922</v>
      </c>
      <c r="AC50" s="91">
        <f t="shared" si="11"/>
        <v>6.2326100281256411E-3</v>
      </c>
      <c r="AD50" s="55">
        <f t="shared" si="5"/>
        <v>154007.18203930839</v>
      </c>
    </row>
    <row r="51" spans="1:30" ht="20.100000000000001" customHeight="1" x14ac:dyDescent="0.3">
      <c r="A51" s="65">
        <v>2</v>
      </c>
      <c r="B51" s="66" t="s">
        <v>34</v>
      </c>
      <c r="D51" s="67">
        <f>RAS!M51</f>
        <v>119</v>
      </c>
      <c r="E51" s="67">
        <f>RAS!Q51</f>
        <v>33</v>
      </c>
      <c r="F51" s="68">
        <f t="shared" si="8"/>
        <v>152</v>
      </c>
      <c r="H51" s="71">
        <f>(F51-1)*'AVG RAS salary'!$F$66</f>
        <v>11425665.255351707</v>
      </c>
      <c r="I51" s="71">
        <f>(F51-1)*(VLOOKUP(B51,'FTE Allotment Factor'!$B$6:$D$63,3))</f>
        <v>10366123.299110055</v>
      </c>
      <c r="J51" s="71">
        <f>(F51-1)*(VLOOKUP(B51,'FTE Allotment Factor'!$B$6:$H$63,7))</f>
        <v>10366123.299110055</v>
      </c>
      <c r="K51" s="249">
        <f>VLOOKUP(A51,'CEO Salary'!$G$7:$H$13,2)</f>
        <v>207427.72710829088</v>
      </c>
      <c r="L51" s="249">
        <f t="shared" si="6"/>
        <v>188192.22748115667</v>
      </c>
      <c r="N51" s="85">
        <f>VLOOKUP(B51,BLS!$B$5:$I$64,8, FALSE)</f>
        <v>0.90726649761199951</v>
      </c>
      <c r="O51" s="90">
        <f t="shared" si="7"/>
        <v>10554315.526591212</v>
      </c>
      <c r="Q51" s="87">
        <f>VLOOKUP(B51,'Program 10'!$A$7:$G$64,6)</f>
        <v>0.15504290969152637</v>
      </c>
      <c r="R51" s="8">
        <f>VLOOKUP(B51,'Program 10'!$A$7:$G$64,7)</f>
        <v>21696.952828433074</v>
      </c>
      <c r="S51" s="87">
        <f>VLOOKUP(B51,'Program 90'!$A$7:$G$64,6)</f>
        <v>0.17500000000000002</v>
      </c>
      <c r="T51" s="8">
        <f>VLOOKUP(B51,'Program 90'!$A$7:$G$64,7)</f>
        <v>26150.525806676607</v>
      </c>
      <c r="U51" s="72">
        <f>(D51*VLOOKUP(B51,'FTE Allotment Factor'!$B$7:$H$64,7,FALSE)*Q51)+(D51*R51)</f>
        <v>3848533.9183934866</v>
      </c>
      <c r="V51" s="72">
        <f>((((E51-1)*VLOOKUP(B51,'FTE Allotment Factor'!$B$7:$H$64,7,FALSE))+(K51*N51))*S51)+(T51*E51)</f>
        <v>1280340.0011978503</v>
      </c>
      <c r="W51" s="90">
        <f t="shared" si="9"/>
        <v>5128873.9195913374</v>
      </c>
      <c r="Y51" s="90">
        <f>F51*(VLOOKUP(A51, 'OE&amp;E by Cluster'!$B$6:$C$9,2,FALSE))</f>
        <v>3139368.5887651257</v>
      </c>
      <c r="AA51" s="249">
        <f>'AB1058'!E49</f>
        <v>624106.49</v>
      </c>
      <c r="AB51" s="90">
        <f t="shared" si="10"/>
        <v>18198451.544947676</v>
      </c>
      <c r="AC51" s="91">
        <f t="shared" si="11"/>
        <v>6.6953106338336786E-3</v>
      </c>
      <c r="AD51" s="55">
        <f t="shared" si="5"/>
        <v>119726.65490097155</v>
      </c>
    </row>
    <row r="52" spans="1:30" ht="20.100000000000001" customHeight="1" x14ac:dyDescent="0.3">
      <c r="A52" s="65">
        <v>1</v>
      </c>
      <c r="B52" s="66" t="s">
        <v>17</v>
      </c>
      <c r="D52" s="67">
        <f>RAS!M52</f>
        <v>2</v>
      </c>
      <c r="E52" s="67">
        <f>RAS!Q52</f>
        <v>2</v>
      </c>
      <c r="F52" s="68">
        <f t="shared" si="8"/>
        <v>4</v>
      </c>
      <c r="H52" s="71">
        <f>(F52-1)*'AVG RAS salary'!$F$66</f>
        <v>226999.97196062995</v>
      </c>
      <c r="I52" s="71">
        <f>(F52-1)*(VLOOKUP(B52,'FTE Allotment Factor'!$B$6:$D$63,3))</f>
        <v>160589.35148735286</v>
      </c>
      <c r="J52" s="71">
        <f>(F52-1)*(VLOOKUP(B52,'FTE Allotment Factor'!$B$6:$H$63,7))</f>
        <v>174174.28669634755</v>
      </c>
      <c r="K52" s="249">
        <f>VLOOKUP(A52,'CEO Salary'!$G$7:$H$13,2)</f>
        <v>143214.08755555557</v>
      </c>
      <c r="L52" s="249">
        <f>IF(N52&lt;&gt;0,N52*K52,K52)</f>
        <v>101315.68407589251</v>
      </c>
      <c r="N52" s="85">
        <f>VLOOKUP(B52,BLS!$B$5:$I$64,8, FALSE)</f>
        <v>0.70744216442108154</v>
      </c>
      <c r="O52" s="90">
        <f t="shared" si="7"/>
        <v>275489.97077224008</v>
      </c>
      <c r="Q52" s="87">
        <f>VLOOKUP(B52,'Program 10'!$A$7:$G$64,6)</f>
        <v>0.28316519842581411</v>
      </c>
      <c r="R52" s="8">
        <f>VLOOKUP(B52,'Program 10'!$A$7:$G$64,7)</f>
        <v>18361.238735463263</v>
      </c>
      <c r="S52" s="87">
        <f>VLOOKUP(B52,'Program 90'!$A$7:$G$64,6)</f>
        <v>0.37320000000000003</v>
      </c>
      <c r="T52" s="8">
        <f>VLOOKUP(B52,'Program 90'!$A$7:$G$64,7)</f>
        <v>27061.675399999993</v>
      </c>
      <c r="U52" s="72">
        <f>(D52*VLOOKUP(B52,'FTE Allotment Factor'!$B$7:$H$64,7,FALSE)*Q52)+(D52*R52)</f>
        <v>69602.54177295712</v>
      </c>
      <c r="V52" s="72">
        <f>((((E52-1)*VLOOKUP(B52,'FTE Allotment Factor'!$B$7:$H$64,7,FALSE))+(K52*N52))*S52)+(T52*E52)</f>
        <v>113601.64536214872</v>
      </c>
      <c r="W52" s="90">
        <f t="shared" si="9"/>
        <v>183204.18713510584</v>
      </c>
      <c r="Y52" s="90">
        <f>F52*(VLOOKUP(A52, 'OE&amp;E by Cluster'!$B$6:$C$9,2,FALSE))</f>
        <v>164455.29649651729</v>
      </c>
      <c r="AA52" s="249">
        <f>'AB1058'!E50</f>
        <v>0</v>
      </c>
      <c r="AB52" s="90">
        <f t="shared" si="10"/>
        <v>623149.45440386317</v>
      </c>
      <c r="AC52" s="91">
        <f t="shared" si="11"/>
        <v>2.2926011909492027E-4</v>
      </c>
      <c r="AD52" s="55">
        <f t="shared" si="5"/>
        <v>155787.36360096579</v>
      </c>
    </row>
    <row r="53" spans="1:30" ht="20.100000000000001" customHeight="1" x14ac:dyDescent="0.3">
      <c r="A53" s="65">
        <v>2</v>
      </c>
      <c r="B53" s="66" t="s">
        <v>35</v>
      </c>
      <c r="D53" s="67">
        <f>RAS!M53</f>
        <v>30</v>
      </c>
      <c r="E53" s="67">
        <f>RAS!Q53</f>
        <v>7</v>
      </c>
      <c r="F53" s="68">
        <f t="shared" si="8"/>
        <v>37</v>
      </c>
      <c r="H53" s="71">
        <f>(F53-1)*'AVG RAS salary'!$F$66</f>
        <v>2723999.6635275595</v>
      </c>
      <c r="I53" s="71">
        <f>(F53-1)*(VLOOKUP(B53,'FTE Allotment Factor'!$B$6:$D$63,3))</f>
        <v>1870961.5022373034</v>
      </c>
      <c r="J53" s="71">
        <f>(F53-1)*(VLOOKUP(B53,'FTE Allotment Factor'!$B$6:$H$63,7))</f>
        <v>2090091.4403561708</v>
      </c>
      <c r="K53" s="249">
        <f>VLOOKUP(A53,'CEO Salary'!$G$7:$H$13,2)</f>
        <v>207427.72710829088</v>
      </c>
      <c r="L53" s="249">
        <f>IF(N53&lt;&gt;0,N53*K53,K53)</f>
        <v>142470.3890798667</v>
      </c>
      <c r="N53" s="85">
        <f>VLOOKUP(B53,BLS!$B$5:$I$64,8, FALSE)</f>
        <v>0.68684351444244385</v>
      </c>
      <c r="O53" s="90">
        <f t="shared" si="7"/>
        <v>2232561.8294360377</v>
      </c>
      <c r="Q53" s="87">
        <f>VLOOKUP(B53,'Program 10'!$A$7:$G$64,6)</f>
        <v>0.45329999999999987</v>
      </c>
      <c r="R53" s="8">
        <f>VLOOKUP(B53,'Program 10'!$A$7:$G$64,7)</f>
        <v>27242.154060699584</v>
      </c>
      <c r="S53" s="87">
        <f>VLOOKUP(B53,'Program 90'!$A$7:$G$64,6)</f>
        <v>0.45330000000000004</v>
      </c>
      <c r="T53" s="8">
        <f>VLOOKUP(B53,'Program 90'!$A$7:$G$64,7)</f>
        <v>25678.073453703699</v>
      </c>
      <c r="U53" s="72">
        <f>(D53*VLOOKUP(B53,'FTE Allotment Factor'!$B$7:$H$64,7,FALSE)*Q53)+(D53*R53)</f>
        <v>1606796.6634155307</v>
      </c>
      <c r="V53" s="72">
        <f>((((E53-1)*VLOOKUP(B53,'FTE Allotment Factor'!$B$7:$H$64,7,FALSE))+(K53*N53))*S53)+(T53*E53)</f>
        <v>402234.7498647382</v>
      </c>
      <c r="W53" s="90">
        <f t="shared" si="9"/>
        <v>2009031.4132802689</v>
      </c>
      <c r="Y53" s="90">
        <f>F53*(VLOOKUP(A53, 'OE&amp;E by Cluster'!$B$6:$C$9,2,FALSE))</f>
        <v>764188.40647572139</v>
      </c>
      <c r="AA53" s="249">
        <f>'AB1058'!E51</f>
        <v>164683.98000000001</v>
      </c>
      <c r="AB53" s="90">
        <f t="shared" si="10"/>
        <v>4841097.6691920273</v>
      </c>
      <c r="AC53" s="91">
        <f t="shared" si="11"/>
        <v>1.7810665167810578E-3</v>
      </c>
      <c r="AD53" s="55">
        <f t="shared" si="5"/>
        <v>130840.47754573046</v>
      </c>
    </row>
    <row r="54" spans="1:30" ht="20.100000000000001" customHeight="1" x14ac:dyDescent="0.3">
      <c r="A54" s="65">
        <v>3</v>
      </c>
      <c r="B54" s="66" t="s">
        <v>48</v>
      </c>
      <c r="D54" s="67">
        <f>RAS!M54</f>
        <v>155</v>
      </c>
      <c r="E54" s="67">
        <f>RAS!Q54</f>
        <v>26</v>
      </c>
      <c r="F54" s="68">
        <f t="shared" si="8"/>
        <v>181</v>
      </c>
      <c r="H54" s="71">
        <f>(F54-1)*'AVG RAS salary'!$F$66</f>
        <v>13619998.317637797</v>
      </c>
      <c r="I54" s="71">
        <f>(F54-1)*(VLOOKUP(B54,'FTE Allotment Factor'!$B$6:$D$63,3))</f>
        <v>16351517.662643893</v>
      </c>
      <c r="J54" s="71">
        <f>(F54-1)*(VLOOKUP(B54,'FTE Allotment Factor'!$B$6:$H$63,7))</f>
        <v>16351517.662643893</v>
      </c>
      <c r="K54" s="249">
        <f>VLOOKUP(A54,'CEO Salary'!$G$7:$H$13,2)</f>
        <v>244000.49625956637</v>
      </c>
      <c r="L54" s="249">
        <f t="shared" ref="L54:L58" si="12">IF(N54&lt;&gt;0,N54*K54,K54)</f>
        <v>292935.3096259521</v>
      </c>
      <c r="N54" s="85">
        <f>VLOOKUP(B54,BLS!$B$5:$I$64,8, FALSE)</f>
        <v>1.2005521059036255</v>
      </c>
      <c r="O54" s="90">
        <f t="shared" si="7"/>
        <v>16644452.972269844</v>
      </c>
      <c r="Q54" s="87">
        <f>VLOOKUP(B54,'Program 10'!$A$7:$G$64,6)</f>
        <v>0.49359704675753413</v>
      </c>
      <c r="R54" s="8">
        <f>VLOOKUP(B54,'Program 10'!$A$7:$G$64,7)</f>
        <v>19451.281905044474</v>
      </c>
      <c r="S54" s="87">
        <f>VLOOKUP(B54,'Program 90'!$A$7:$G$64,6)</f>
        <v>0.49372199592252647</v>
      </c>
      <c r="T54" s="8">
        <f>VLOOKUP(B54,'Program 90'!$A$7:$G$64,7)</f>
        <v>21865.702571428574</v>
      </c>
      <c r="U54" s="72">
        <f>(D54*VLOOKUP(B54,'FTE Allotment Factor'!$B$7:$H$64,7,FALSE)*Q54)+(D54*R54)</f>
        <v>9965028.8529714812</v>
      </c>
      <c r="V54" s="72">
        <f>((((E54-1)*VLOOKUP(B54,'FTE Allotment Factor'!$B$7:$H$64,7,FALSE))+(K54*N54))*S54)+(T54*E54)</f>
        <v>1834401.3082633773</v>
      </c>
      <c r="W54" s="90">
        <f t="shared" si="9"/>
        <v>11799430.161234859</v>
      </c>
      <c r="Y54" s="90">
        <f>F54*(VLOOKUP(A54, 'OE&amp;E by Cluster'!$B$6:$C$9,2,FALSE))</f>
        <v>3738327.0695163668</v>
      </c>
      <c r="AA54" s="249">
        <f>'AB1058'!E52</f>
        <v>737071.45000000007</v>
      </c>
      <c r="AB54" s="90">
        <f t="shared" si="10"/>
        <v>31445138.753021073</v>
      </c>
      <c r="AC54" s="91">
        <f t="shared" si="11"/>
        <v>1.1568839873847785E-2</v>
      </c>
      <c r="AD54" s="55">
        <f t="shared" si="5"/>
        <v>173730.04835923243</v>
      </c>
    </row>
    <row r="55" spans="1:30" ht="20.100000000000001" customHeight="1" x14ac:dyDescent="0.3">
      <c r="A55" s="65">
        <v>3</v>
      </c>
      <c r="B55" s="66" t="s">
        <v>49</v>
      </c>
      <c r="D55" s="67">
        <f>RAS!M55</f>
        <v>154</v>
      </c>
      <c r="E55" s="67">
        <f>RAS!Q55</f>
        <v>26</v>
      </c>
      <c r="F55" s="68">
        <f t="shared" si="8"/>
        <v>180</v>
      </c>
      <c r="H55" s="71">
        <f>(F55-1)*'AVG RAS salary'!$F$66</f>
        <v>13544331.660317587</v>
      </c>
      <c r="I55" s="71">
        <f>(F55-1)*(VLOOKUP(B55,'FTE Allotment Factor'!$B$6:$D$63,3))</f>
        <v>16380097.308721034</v>
      </c>
      <c r="J55" s="71">
        <f>(F55-1)*(VLOOKUP(B55,'FTE Allotment Factor'!$B$6:$H$63,7))</f>
        <v>16380097.308721034</v>
      </c>
      <c r="K55" s="249">
        <f>VLOOKUP(A55,'CEO Salary'!$G$7:$H$13,2)</f>
        <v>244000.49625956637</v>
      </c>
      <c r="L55" s="249">
        <f t="shared" si="12"/>
        <v>295086.68071217358</v>
      </c>
      <c r="N55" s="85">
        <f>VLOOKUP(B55,BLS!$B$5:$I$64,8, FALSE)</f>
        <v>1.2093691825866699</v>
      </c>
      <c r="O55" s="90">
        <f t="shared" si="7"/>
        <v>16675183.989433207</v>
      </c>
      <c r="Q55" s="87">
        <f>VLOOKUP(B55,'Program 10'!$A$7:$G$64,6)</f>
        <v>0.38483729427229985</v>
      </c>
      <c r="R55" s="8">
        <f>VLOOKUP(B55,'Program 10'!$A$7:$G$64,7)</f>
        <v>23618.734867376581</v>
      </c>
      <c r="S55" s="87">
        <f>VLOOKUP(B55,'Program 90'!$A$7:$G$64,6)</f>
        <v>0.38224836746277474</v>
      </c>
      <c r="T55" s="8">
        <f>VLOOKUP(B55,'Program 90'!$A$7:$G$64,7)</f>
        <v>22890.967133054994</v>
      </c>
      <c r="U55" s="72">
        <f>(D55*VLOOKUP(B55,'FTE Allotment Factor'!$B$7:$H$64,7,FALSE)*Q55)+(D55*R55)</f>
        <v>9060556.3346240278</v>
      </c>
      <c r="V55" s="72">
        <f>((((E55-1)*VLOOKUP(B55,'FTE Allotment Factor'!$B$7:$H$64,7,FALSE))+(K55*N55))*S55)+(T55*E55)</f>
        <v>1582439.9629440145</v>
      </c>
      <c r="W55" s="90">
        <f t="shared" si="9"/>
        <v>10642996.297568042</v>
      </c>
      <c r="Y55" s="90">
        <f>F55*(VLOOKUP(A55, 'OE&amp;E by Cluster'!$B$6:$C$9,2,FALSE))</f>
        <v>3717673.3288008068</v>
      </c>
      <c r="AA55" s="249">
        <f>'AB1058'!E53</f>
        <v>302937.42</v>
      </c>
      <c r="AB55" s="90">
        <f t="shared" si="10"/>
        <v>30732916.195802055</v>
      </c>
      <c r="AC55" s="91">
        <f t="shared" si="11"/>
        <v>1.1306809269253376E-2</v>
      </c>
      <c r="AD55" s="55">
        <f t="shared" si="5"/>
        <v>170738.42331001142</v>
      </c>
    </row>
    <row r="56" spans="1:30" ht="20.100000000000001" customHeight="1" x14ac:dyDescent="0.3">
      <c r="A56" s="65">
        <v>3</v>
      </c>
      <c r="B56" s="66" t="s">
        <v>50</v>
      </c>
      <c r="D56" s="67">
        <f>RAS!M56</f>
        <v>224</v>
      </c>
      <c r="E56" s="67">
        <f>RAS!Q56</f>
        <v>37</v>
      </c>
      <c r="F56" s="68">
        <f t="shared" si="8"/>
        <v>261</v>
      </c>
      <c r="H56" s="71">
        <f>(F56-1)*'AVG RAS salary'!$F$66</f>
        <v>19673330.903254595</v>
      </c>
      <c r="I56" s="71">
        <f>(F56-1)*(VLOOKUP(B56,'FTE Allotment Factor'!$B$6:$D$63,3))</f>
        <v>20171134.697502188</v>
      </c>
      <c r="J56" s="71">
        <f>(F56-1)*(VLOOKUP(B56,'FTE Allotment Factor'!$B$6:$H$63,7))</f>
        <v>20171134.697502188</v>
      </c>
      <c r="K56" s="249">
        <f>VLOOKUP(A56,'CEO Salary'!$G$7:$H$13,2)</f>
        <v>244000.49625956637</v>
      </c>
      <c r="L56" s="249">
        <f t="shared" si="12"/>
        <v>250174.55867094043</v>
      </c>
      <c r="N56" s="85">
        <f>VLOOKUP(B56,BLS!$B$5:$I$64,8, FALSE)</f>
        <v>1.0253034830093384</v>
      </c>
      <c r="O56" s="90">
        <f t="shared" si="7"/>
        <v>20421309.25617313</v>
      </c>
      <c r="Q56" s="87">
        <f>VLOOKUP(B56,'Program 10'!$A$7:$G$64,6)</f>
        <v>0.35878398219109459</v>
      </c>
      <c r="R56" s="8">
        <f>VLOOKUP(B56,'Program 10'!$A$7:$G$64,7)</f>
        <v>19455.577415799024</v>
      </c>
      <c r="S56" s="87">
        <f>VLOOKUP(B56,'Program 90'!$A$7:$G$64,6)</f>
        <v>0.36254139594020973</v>
      </c>
      <c r="T56" s="8">
        <f>VLOOKUP(B56,'Program 90'!$A$7:$G$64,7)</f>
        <v>20863.524204364567</v>
      </c>
      <c r="U56" s="72">
        <f>(D56*VLOOKUP(B56,'FTE Allotment Factor'!$B$7:$H$64,7,FALSE)*Q56)+(D56*R56)</f>
        <v>10593072.138010312</v>
      </c>
      <c r="V56" s="72">
        <f>((((E56-1)*VLOOKUP(B56,'FTE Allotment Factor'!$B$7:$H$64,7,FALSE))+(K56*N56))*S56)+(T56*E56)</f>
        <v>1875200.4443426854</v>
      </c>
      <c r="W56" s="90">
        <f t="shared" si="9"/>
        <v>12468272.582352998</v>
      </c>
      <c r="Y56" s="90">
        <f>F56*(VLOOKUP(A56, 'OE&amp;E by Cluster'!$B$6:$C$9,2,FALSE))</f>
        <v>5390626.3267611694</v>
      </c>
      <c r="AA56" s="249">
        <f>'AB1058'!E54</f>
        <v>1225388.5899999999</v>
      </c>
      <c r="AB56" s="90">
        <f t="shared" si="10"/>
        <v>37054819.575287297</v>
      </c>
      <c r="AC56" s="91">
        <f t="shared" si="11"/>
        <v>1.363267236909978E-2</v>
      </c>
      <c r="AD56" s="55">
        <f t="shared" si="5"/>
        <v>141972.4887942042</v>
      </c>
    </row>
    <row r="57" spans="1:30" ht="20.100000000000001" customHeight="1" x14ac:dyDescent="0.3">
      <c r="A57" s="65">
        <v>2</v>
      </c>
      <c r="B57" s="66" t="s">
        <v>36</v>
      </c>
      <c r="D57" s="67">
        <f>RAS!M57</f>
        <v>53</v>
      </c>
      <c r="E57" s="67">
        <f>RAS!Q57</f>
        <v>12</v>
      </c>
      <c r="F57" s="68">
        <f t="shared" si="8"/>
        <v>65</v>
      </c>
      <c r="H57" s="71">
        <f>(F57-1)*'AVG RAS salary'!$F$66</f>
        <v>4842666.0684934389</v>
      </c>
      <c r="I57" s="71">
        <f>(F57-1)*(VLOOKUP(B57,'FTE Allotment Factor'!$B$6:$D$63,3))</f>
        <v>4517397.3505330877</v>
      </c>
      <c r="J57" s="71">
        <f>(F57-1)*(VLOOKUP(B57,'FTE Allotment Factor'!$B$6:$H$63,7))</f>
        <v>4517397.3505330877</v>
      </c>
      <c r="K57" s="249">
        <f>VLOOKUP(A57,'CEO Salary'!$G$7:$H$13,2)</f>
        <v>207427.72710829088</v>
      </c>
      <c r="L57" s="249">
        <f t="shared" si="12"/>
        <v>193495.37044531468</v>
      </c>
      <c r="N57" s="85">
        <f>VLOOKUP(B57,BLS!$B$5:$I$64,8, FALSE)</f>
        <v>0.93283271789550781</v>
      </c>
      <c r="O57" s="90">
        <f t="shared" si="7"/>
        <v>4710892.7209784025</v>
      </c>
      <c r="Q57" s="87">
        <f>VLOOKUP(B57,'Program 10'!$A$7:$G$64,6)</f>
        <v>0.42021783353798237</v>
      </c>
      <c r="R57" s="8">
        <f>VLOOKUP(B57,'Program 10'!$A$7:$G$64,7)</f>
        <v>26487.493085993428</v>
      </c>
      <c r="S57" s="87">
        <f>VLOOKUP(B57,'Program 90'!$A$7:$G$64,6)</f>
        <v>0.43363718616781688</v>
      </c>
      <c r="T57" s="8">
        <f>VLOOKUP(B57,'Program 90'!$A$7:$G$64,7)</f>
        <v>24448.204377880182</v>
      </c>
      <c r="U57" s="72">
        <f>(D57*VLOOKUP(B57,'FTE Allotment Factor'!$B$7:$H$64,7,FALSE)*Q57)+(D57*R57)</f>
        <v>2975859.3082010187</v>
      </c>
      <c r="V57" s="72">
        <f>((((E57-1)*VLOOKUP(B57,'FTE Allotment Factor'!$B$7:$H$64,7,FALSE))+(K57*N57))*S57)+(T57*E57)</f>
        <v>713973.1504290665</v>
      </c>
      <c r="W57" s="90">
        <f t="shared" si="9"/>
        <v>3689832.458630085</v>
      </c>
      <c r="Y57" s="90">
        <f>F57*(VLOOKUP(A57, 'OE&amp;E by Cluster'!$B$6:$C$9,2,FALSE))</f>
        <v>1342493.1465114024</v>
      </c>
      <c r="AA57" s="249">
        <f>'AB1058'!E55</f>
        <v>257893.46</v>
      </c>
      <c r="AB57" s="90">
        <f t="shared" si="10"/>
        <v>9485324.8661198877</v>
      </c>
      <c r="AC57" s="91">
        <f t="shared" si="11"/>
        <v>3.4897033016597838E-3</v>
      </c>
      <c r="AD57" s="55">
        <f t="shared" si="5"/>
        <v>145928.07486338288</v>
      </c>
    </row>
    <row r="58" spans="1:30" ht="20.100000000000001" customHeight="1" x14ac:dyDescent="0.3">
      <c r="A58" s="65">
        <v>2</v>
      </c>
      <c r="B58" s="66" t="s">
        <v>37</v>
      </c>
      <c r="D58" s="67">
        <f>RAS!M58</f>
        <v>43</v>
      </c>
      <c r="E58" s="67">
        <f>RAS!Q58</f>
        <v>10</v>
      </c>
      <c r="F58" s="68">
        <f t="shared" si="8"/>
        <v>53</v>
      </c>
      <c r="H58" s="71">
        <f>(F58-1)*'AVG RAS salary'!$F$66</f>
        <v>3934666.1806509192</v>
      </c>
      <c r="I58" s="71">
        <f>(F58-1)*(VLOOKUP(B58,'FTE Allotment Factor'!$B$6:$D$63,3))</f>
        <v>2908985.2963829963</v>
      </c>
      <c r="J58" s="71">
        <f>(F58-1)*(VLOOKUP(B58,'FTE Allotment Factor'!$B$6:$H$63,7))</f>
        <v>2908985.2963829963</v>
      </c>
      <c r="K58" s="249">
        <f>VLOOKUP(A58,'CEO Salary'!$G$7:$H$13,2)</f>
        <v>207427.72710829088</v>
      </c>
      <c r="L58" s="249">
        <f t="shared" si="12"/>
        <v>153355.88345142422</v>
      </c>
      <c r="N58" s="85">
        <f>VLOOKUP(B58,BLS!$B$5:$I$64,8, FALSE)</f>
        <v>0.7393220067024231</v>
      </c>
      <c r="O58" s="90">
        <f t="shared" si="7"/>
        <v>3062341.1798344203</v>
      </c>
      <c r="Q58" s="87">
        <f>VLOOKUP(B58,'Program 10'!$A$7:$G$64,6)</f>
        <v>0.38842091612541807</v>
      </c>
      <c r="R58" s="8">
        <f>VLOOKUP(B58,'Program 10'!$A$7:$G$64,7)</f>
        <v>23819.888418538671</v>
      </c>
      <c r="S58" s="87">
        <f>VLOOKUP(B58,'Program 90'!$A$7:$G$64,6)</f>
        <v>0.38861999999999991</v>
      </c>
      <c r="T58" s="8">
        <f>VLOOKUP(B58,'Program 90'!$A$7:$G$64,7)</f>
        <v>24016.6951473913</v>
      </c>
      <c r="U58" s="72">
        <f>(D58*VLOOKUP(B58,'FTE Allotment Factor'!$B$7:$H$64,7,FALSE)*Q58)+(D58*R58)</f>
        <v>1958604.4626530767</v>
      </c>
      <c r="V58" s="72">
        <f>((((E58-1)*VLOOKUP(B58,'FTE Allotment Factor'!$B$7:$H$64,7,FALSE))+(K58*N58))*S58)+(T58*E58)</f>
        <v>495425.82245702157</v>
      </c>
      <c r="W58" s="90">
        <f t="shared" si="9"/>
        <v>2454030.2851100983</v>
      </c>
      <c r="Y58" s="90">
        <f>F58*(VLOOKUP(A58, 'OE&amp;E by Cluster'!$B$6:$C$9,2,FALSE))</f>
        <v>1094648.257924682</v>
      </c>
      <c r="AA58" s="249">
        <f>'AB1058'!E56</f>
        <v>184408.87999999998</v>
      </c>
      <c r="AB58" s="90">
        <f t="shared" si="10"/>
        <v>6426610.8428692007</v>
      </c>
      <c r="AC58" s="91">
        <f t="shared" si="11"/>
        <v>2.3643855527762537E-3</v>
      </c>
      <c r="AD58" s="55">
        <f t="shared" si="5"/>
        <v>121256.80835602265</v>
      </c>
    </row>
    <row r="59" spans="1:30" ht="20.100000000000001" customHeight="1" x14ac:dyDescent="0.3">
      <c r="A59" s="65">
        <v>1</v>
      </c>
      <c r="B59" s="66" t="s">
        <v>18</v>
      </c>
      <c r="D59" s="67">
        <f>RAS!M59</f>
        <v>11</v>
      </c>
      <c r="E59" s="67">
        <f>RAS!Q59</f>
        <v>5</v>
      </c>
      <c r="F59" s="68">
        <f t="shared" si="8"/>
        <v>16</v>
      </c>
      <c r="H59" s="71">
        <f>(F59-1)*'AVG RAS salary'!$F$66</f>
        <v>1134999.8598031497</v>
      </c>
      <c r="I59" s="71">
        <f>(F59-1)*(VLOOKUP(B59,'FTE Allotment Factor'!$B$6:$D$63,3))</f>
        <v>827610.7168140373</v>
      </c>
      <c r="J59" s="71">
        <f>(F59-1)*(VLOOKUP(B59,'FTE Allotment Factor'!$B$6:$H$63,7))</f>
        <v>870871.43348173774</v>
      </c>
      <c r="K59" s="249">
        <f>VLOOKUP(A59,'CEO Salary'!$G$7:$H$13,2)</f>
        <v>143214.08755555557</v>
      </c>
      <c r="L59" s="249">
        <f>IF(N59&lt;&gt;0,N59*K59,K59)</f>
        <v>104427.7782380328</v>
      </c>
      <c r="N59" s="85">
        <f>VLOOKUP(B59,BLS!$B$5:$I$64,8, FALSE)</f>
        <v>0.72917252779006958</v>
      </c>
      <c r="O59" s="90">
        <f t="shared" si="7"/>
        <v>975299.21171977057</v>
      </c>
      <c r="Q59" s="87">
        <f>VLOOKUP(B59,'Program 10'!$A$7:$G$64,6)</f>
        <v>0.45866172157644586</v>
      </c>
      <c r="R59" s="8">
        <f>VLOOKUP(B59,'Program 10'!$A$7:$G$64,7)</f>
        <v>11678.560344827583</v>
      </c>
      <c r="S59" s="87">
        <f>VLOOKUP(B59,'Program 90'!$A$7:$G$64,6)</f>
        <v>0.499</v>
      </c>
      <c r="T59" s="8">
        <f>VLOOKUP(B59,'Program 90'!$A$7:$G$64,7)</f>
        <v>10899</v>
      </c>
      <c r="U59" s="72">
        <f>(D59*VLOOKUP(B59,'FTE Allotment Factor'!$B$7:$H$64,7,FALSE)*Q59)+(D59*R59)</f>
        <v>421383.45049158955</v>
      </c>
      <c r="V59" s="72">
        <f>((((E59-1)*VLOOKUP(B59,'FTE Allotment Factor'!$B$7:$H$64,7,FALSE))+(K59*N59))*S59)+(T59*E59)</f>
        <v>222488.42008941495</v>
      </c>
      <c r="W59" s="90">
        <f t="shared" si="9"/>
        <v>643871.87058100454</v>
      </c>
      <c r="Y59" s="90">
        <f>F59*(VLOOKUP(A59, 'OE&amp;E by Cluster'!$B$6:$C$9,2,FALSE))</f>
        <v>657821.18598606915</v>
      </c>
      <c r="AA59" s="249">
        <f>'AB1058'!E57</f>
        <v>0</v>
      </c>
      <c r="AB59" s="90">
        <f t="shared" si="10"/>
        <v>2276992.2682868442</v>
      </c>
      <c r="AC59" s="91">
        <f t="shared" si="11"/>
        <v>8.3771800635699684E-4</v>
      </c>
      <c r="AD59" s="55">
        <f t="shared" si="5"/>
        <v>142312.01676792777</v>
      </c>
    </row>
    <row r="60" spans="1:30" ht="20.100000000000001" customHeight="1" x14ac:dyDescent="0.3">
      <c r="A60" s="65">
        <v>3</v>
      </c>
      <c r="B60" s="66" t="s">
        <v>51</v>
      </c>
      <c r="D60" s="67">
        <f>RAS!M60</f>
        <v>223</v>
      </c>
      <c r="E60" s="67">
        <f>RAS!Q60</f>
        <v>39</v>
      </c>
      <c r="F60" s="68">
        <f t="shared" si="8"/>
        <v>262</v>
      </c>
      <c r="H60" s="71">
        <f>(F60-1)*'AVG RAS salary'!$F$66</f>
        <v>19748997.560574807</v>
      </c>
      <c r="I60" s="71">
        <f>(F60-1)*(VLOOKUP(B60,'FTE Allotment Factor'!$B$6:$D$63,3))</f>
        <v>18987337.841550075</v>
      </c>
      <c r="J60" s="71">
        <f>(F60-1)*(VLOOKUP(B60,'FTE Allotment Factor'!$B$6:$H$63,7))</f>
        <v>18987337.841550075</v>
      </c>
      <c r="K60" s="249">
        <f>VLOOKUP(A60,'CEO Salary'!$G$7:$H$13,2)</f>
        <v>244000.49625956637</v>
      </c>
      <c r="L60" s="249">
        <f t="shared" ref="L60:L64" si="13">IF(N60&lt;&gt;0,N60*K60,K60)</f>
        <v>234590.12751285275</v>
      </c>
      <c r="N60" s="85">
        <f>VLOOKUP(B60,BLS!$B$5:$I$64,8, FALSE)</f>
        <v>0.96143299341201782</v>
      </c>
      <c r="O60" s="90">
        <f t="shared" si="7"/>
        <v>19221927.969062928</v>
      </c>
      <c r="Q60" s="87">
        <f>VLOOKUP(B60,'Program 10'!$A$7:$G$64,6)</f>
        <v>0.30381453480249959</v>
      </c>
      <c r="R60" s="8">
        <f>VLOOKUP(B60,'Program 10'!$A$7:$G$64,7)</f>
        <v>34092.437327096108</v>
      </c>
      <c r="S60" s="87">
        <f>VLOOKUP(B60,'Program 90'!$A$7:$G$64,6)</f>
        <v>0.3063782112248824</v>
      </c>
      <c r="T60" s="8">
        <f>VLOOKUP(B60,'Program 90'!$A$7:$G$64,7)</f>
        <v>35840.986353507898</v>
      </c>
      <c r="U60" s="72">
        <f>(D60*VLOOKUP(B60,'FTE Allotment Factor'!$B$7:$H$64,7,FALSE)*Q60)+(D60*R60)</f>
        <v>12531365.687174082</v>
      </c>
      <c r="V60" s="72">
        <f>((((E60-1)*VLOOKUP(B60,'FTE Allotment Factor'!$B$7:$H$64,7,FALSE))+(K60*N60))*S60)+(T60*E60)</f>
        <v>2316635.9512912361</v>
      </c>
      <c r="W60" s="90">
        <f t="shared" si="9"/>
        <v>14848001.638465319</v>
      </c>
      <c r="Y60" s="90">
        <f>F60*(VLOOKUP(A60, 'OE&amp;E by Cluster'!$B$6:$C$9,2,FALSE))</f>
        <v>5411280.0674767299</v>
      </c>
      <c r="AA60" s="249">
        <f>'AB1058'!E58</f>
        <v>932254.58000000007</v>
      </c>
      <c r="AB60" s="90">
        <f t="shared" si="10"/>
        <v>38548955.095004976</v>
      </c>
      <c r="AC60" s="91">
        <f t="shared" si="11"/>
        <v>1.4182373062526725E-2</v>
      </c>
      <c r="AD60" s="55">
        <f t="shared" si="5"/>
        <v>147133.41639314877</v>
      </c>
    </row>
    <row r="61" spans="1:30" ht="20.100000000000001" customHeight="1" x14ac:dyDescent="0.3">
      <c r="A61" s="65">
        <v>2</v>
      </c>
      <c r="B61" s="66" t="s">
        <v>38</v>
      </c>
      <c r="D61" s="67">
        <f>RAS!M61</f>
        <v>33</v>
      </c>
      <c r="E61" s="67">
        <f>RAS!Q61</f>
        <v>7</v>
      </c>
      <c r="F61" s="68">
        <f t="shared" si="8"/>
        <v>40</v>
      </c>
      <c r="H61" s="71">
        <f>(F61-1)*'AVG RAS salary'!$F$66</f>
        <v>2950999.6354881893</v>
      </c>
      <c r="I61" s="71">
        <f>(F61-1)*(VLOOKUP(B61,'FTE Allotment Factor'!$B$6:$D$63,3))</f>
        <v>2401831.2496288852</v>
      </c>
      <c r="J61" s="71">
        <f>(F61-1)*(VLOOKUP(B61,'FTE Allotment Factor'!$B$6:$H$63,7))</f>
        <v>2401831.2496288852</v>
      </c>
      <c r="K61" s="249">
        <f>VLOOKUP(A61,'CEO Salary'!$G$7:$H$13,2)</f>
        <v>207427.72710829088</v>
      </c>
      <c r="L61" s="249">
        <f t="shared" si="13"/>
        <v>168826.31601063092</v>
      </c>
      <c r="N61" s="85">
        <f>VLOOKUP(B61,BLS!$B$5:$I$64,8, FALSE)</f>
        <v>0.8139042854309082</v>
      </c>
      <c r="O61" s="90">
        <f t="shared" si="7"/>
        <v>2570657.5656395163</v>
      </c>
      <c r="Q61" s="87">
        <f>VLOOKUP(B61,'Program 10'!$A$7:$G$64,6)</f>
        <v>0.27405677707782516</v>
      </c>
      <c r="R61" s="8">
        <f>VLOOKUP(B61,'Program 10'!$A$7:$G$64,7)</f>
        <v>31526.229484848482</v>
      </c>
      <c r="S61" s="87">
        <f>VLOOKUP(B61,'Program 90'!$A$7:$G$64,6)</f>
        <v>0.28550025750674823</v>
      </c>
      <c r="T61" s="8">
        <f>VLOOKUP(B61,'Program 90'!$A$7:$G$64,7)</f>
        <v>32275.689033333329</v>
      </c>
      <c r="U61" s="72">
        <f>(D61*VLOOKUP(B61,'FTE Allotment Factor'!$B$7:$H$64,7,FALSE)*Q61)+(D61*R61)</f>
        <v>1597336.2995337748</v>
      </c>
      <c r="V61" s="72">
        <f>((((E61-1)*VLOOKUP(B61,'FTE Allotment Factor'!$B$7:$H$64,7,FALSE))+(K61*N61))*S61)+(T61*E61)</f>
        <v>379625.69381394587</v>
      </c>
      <c r="W61" s="90">
        <f t="shared" si="9"/>
        <v>1976961.9933477207</v>
      </c>
      <c r="Y61" s="90">
        <f>F61*(VLOOKUP(A61, 'OE&amp;E by Cluster'!$B$6:$C$9,2,FALSE))</f>
        <v>826149.62862240151</v>
      </c>
      <c r="AA61" s="249">
        <f>'AB1058'!E59</f>
        <v>288217.34999999998</v>
      </c>
      <c r="AB61" s="90">
        <f t="shared" si="10"/>
        <v>5085551.8376096394</v>
      </c>
      <c r="AC61" s="91">
        <f t="shared" si="11"/>
        <v>1.8710025527810983E-3</v>
      </c>
      <c r="AD61" s="55">
        <f t="shared" si="5"/>
        <v>127138.79594024099</v>
      </c>
    </row>
    <row r="62" spans="1:30" ht="20.100000000000001" customHeight="1" x14ac:dyDescent="0.3">
      <c r="A62" s="65">
        <v>3</v>
      </c>
      <c r="B62" s="66" t="s">
        <v>52</v>
      </c>
      <c r="D62" s="67">
        <f>RAS!M62</f>
        <v>250</v>
      </c>
      <c r="E62" s="67">
        <f>RAS!Q62</f>
        <v>50</v>
      </c>
      <c r="F62" s="68">
        <f t="shared" si="8"/>
        <v>300</v>
      </c>
      <c r="H62" s="71">
        <f>(F62-1)*'AVG RAS salary'!$F$66</f>
        <v>22624330.538742784</v>
      </c>
      <c r="I62" s="71">
        <f>(F62-1)*(VLOOKUP(B62,'FTE Allotment Factor'!$B$6:$D$63,3))</f>
        <v>28412689.027929328</v>
      </c>
      <c r="J62" s="71">
        <f>(F62-1)*(VLOOKUP(B62,'FTE Allotment Factor'!$B$6:$H$63,7))</f>
        <v>28412689.027929328</v>
      </c>
      <c r="K62" s="249">
        <f>VLOOKUP(A62,'CEO Salary'!$G$7:$H$13,2)</f>
        <v>244000.49625956637</v>
      </c>
      <c r="L62" s="249">
        <f t="shared" si="13"/>
        <v>306427.1984097673</v>
      </c>
      <c r="N62" s="85">
        <f>VLOOKUP(B62,BLS!$B$5:$I$64,8, FALSE)</f>
        <v>1.2558466196060181</v>
      </c>
      <c r="O62" s="90">
        <f t="shared" si="7"/>
        <v>28719116.226339094</v>
      </c>
      <c r="Q62" s="87">
        <f>VLOOKUP(B62,'Program 10'!$A$7:$G$64,6)</f>
        <v>0.26357750944948377</v>
      </c>
      <c r="R62" s="8">
        <f>VLOOKUP(B62,'Program 10'!$A$7:$G$64,7)</f>
        <v>16186.681229700269</v>
      </c>
      <c r="S62" s="87">
        <f>VLOOKUP(B62,'Program 90'!$A$7:$G$64,6)</f>
        <v>0.2817974755506053</v>
      </c>
      <c r="T62" s="8">
        <f>VLOOKUP(B62,'Program 90'!$A$7:$G$64,7)</f>
        <v>19698.638674113132</v>
      </c>
      <c r="U62" s="72">
        <f>(D62*VLOOKUP(B62,'FTE Allotment Factor'!$B$7:$H$64,7,FALSE)*Q62)+(D62*R62)</f>
        <v>10308330.684301561</v>
      </c>
      <c r="V62" s="72">
        <f>((((E62-1)*VLOOKUP(B62,'FTE Allotment Factor'!$B$7:$H$64,7,FALSE))+(K62*N62))*S62)+(T62*E62)</f>
        <v>2383404.6792464312</v>
      </c>
      <c r="W62" s="90">
        <f t="shared" si="9"/>
        <v>12691735.363547992</v>
      </c>
      <c r="Y62" s="90">
        <f>F62*(VLOOKUP(A62, 'OE&amp;E by Cluster'!$B$6:$C$9,2,FALSE))</f>
        <v>6196122.2146680113</v>
      </c>
      <c r="AA62" s="249">
        <f>'AB1058'!E60</f>
        <v>607628.16</v>
      </c>
      <c r="AB62" s="90">
        <f t="shared" si="10"/>
        <v>46999345.644555099</v>
      </c>
      <c r="AC62" s="91">
        <f t="shared" si="11"/>
        <v>1.7291318324529414E-2</v>
      </c>
      <c r="AD62" s="55">
        <f t="shared" si="5"/>
        <v>156664.48548185034</v>
      </c>
    </row>
    <row r="63" spans="1:30" ht="20.100000000000001" customHeight="1" x14ac:dyDescent="0.3">
      <c r="A63" s="65">
        <v>2</v>
      </c>
      <c r="B63" s="66" t="s">
        <v>39</v>
      </c>
      <c r="D63" s="67">
        <f>RAS!M63</f>
        <v>78</v>
      </c>
      <c r="E63" s="67">
        <f>RAS!Q63</f>
        <v>18</v>
      </c>
      <c r="F63" s="68">
        <f t="shared" si="8"/>
        <v>96</v>
      </c>
      <c r="H63" s="71">
        <f>(F63-1)*'AVG RAS salary'!$F$66</f>
        <v>7188332.4454199485</v>
      </c>
      <c r="I63" s="71">
        <f>(F63-1)*(VLOOKUP(B63,'FTE Allotment Factor'!$B$6:$D$63,3))</f>
        <v>9378494.924575692</v>
      </c>
      <c r="J63" s="71">
        <f>(F63-1)*(VLOOKUP(B63,'FTE Allotment Factor'!$B$6:$H$63,7))</f>
        <v>9378494.924575692</v>
      </c>
      <c r="K63" s="249">
        <f>VLOOKUP(A63,'CEO Salary'!$G$7:$H$13,2)</f>
        <v>207427.72710829088</v>
      </c>
      <c r="L63" s="249">
        <f t="shared" si="13"/>
        <v>270627.42307374295</v>
      </c>
      <c r="N63" s="85">
        <f>VLOOKUP(B63,BLS!$B$5:$I$64,8, FALSE)</f>
        <v>1.3046829700469971</v>
      </c>
      <c r="O63" s="90">
        <f t="shared" si="7"/>
        <v>9649122.3476494346</v>
      </c>
      <c r="Q63" s="87">
        <f>VLOOKUP(B63,'Program 10'!$A$7:$G$64,6)</f>
        <v>0.35556900000000013</v>
      </c>
      <c r="R63" s="8">
        <f>VLOOKUP(B63,'Program 10'!$A$7:$G$64,7)</f>
        <v>26157.901405945649</v>
      </c>
      <c r="S63" s="87">
        <f>VLOOKUP(B63,'Program 90'!$A$7:$G$64,6)</f>
        <v>0.36319601293865966</v>
      </c>
      <c r="T63" s="8">
        <f>VLOOKUP(B63,'Program 90'!$A$7:$G$64,7)</f>
        <v>38318.021275999992</v>
      </c>
      <c r="U63" s="72">
        <f>(D63*VLOOKUP(B63,'FTE Allotment Factor'!$B$7:$H$64,7,FALSE)*Q63)+(D63*R63)</f>
        <v>4778282.2130663246</v>
      </c>
      <c r="V63" s="72">
        <f>((((E63-1)*VLOOKUP(B63,'FTE Allotment Factor'!$B$7:$H$64,7,FALSE))+(K63*N63))*S63)+(T63*E63)</f>
        <v>1397551.4302045936</v>
      </c>
      <c r="W63" s="90">
        <f t="shared" si="9"/>
        <v>6175833.6432709182</v>
      </c>
      <c r="Y63" s="90">
        <f>F63*(VLOOKUP(A63, 'OE&amp;E by Cluster'!$B$6:$C$9,2,FALSE))</f>
        <v>1982759.1086937636</v>
      </c>
      <c r="AA63" s="249">
        <f>'AB1058'!E61</f>
        <v>302909.46999999997</v>
      </c>
      <c r="AB63" s="90">
        <f t="shared" si="10"/>
        <v>17504805.629614118</v>
      </c>
      <c r="AC63" s="91">
        <f t="shared" si="11"/>
        <v>6.4401144781839744E-3</v>
      </c>
      <c r="AD63" s="55">
        <f t="shared" si="5"/>
        <v>182341.72530848041</v>
      </c>
    </row>
    <row r="64" spans="1:30" ht="20.100000000000001" customHeight="1" x14ac:dyDescent="0.3">
      <c r="A64" s="65">
        <v>2</v>
      </c>
      <c r="B64" s="66" t="s">
        <v>40</v>
      </c>
      <c r="D64" s="67">
        <f>RAS!M64</f>
        <v>46</v>
      </c>
      <c r="E64" s="67">
        <f>RAS!Q64</f>
        <v>10</v>
      </c>
      <c r="F64" s="68">
        <f t="shared" si="8"/>
        <v>56</v>
      </c>
      <c r="H64" s="71">
        <f>(F64-1)*'AVG RAS salary'!$F$66</f>
        <v>4161666.152611549</v>
      </c>
      <c r="I64" s="71">
        <f>(F64-1)*(VLOOKUP(B64,'FTE Allotment Factor'!$B$6:$D$63,3))</f>
        <v>5054202.4409338981</v>
      </c>
      <c r="J64" s="71">
        <f>(F64-1)*(VLOOKUP(B64,'FTE Allotment Factor'!$B$6:$H$63,7))</f>
        <v>5054202.4409338981</v>
      </c>
      <c r="K64" s="249">
        <f>VLOOKUP(A64,'CEO Salary'!$G$7:$H$13,2)</f>
        <v>207427.72710829088</v>
      </c>
      <c r="L64" s="249">
        <f t="shared" si="13"/>
        <v>251913.94172985468</v>
      </c>
      <c r="N64" s="85">
        <f>VLOOKUP(B64,BLS!$B$5:$I$64,8, FALSE)</f>
        <v>1.2144660949707031</v>
      </c>
      <c r="O64" s="90">
        <f>J64+L64</f>
        <v>5306116.3826637529</v>
      </c>
      <c r="Q64" s="87">
        <f>VLOOKUP(B64,'Program 10'!$A$7:$G$64,6)</f>
        <v>0.11069999999999994</v>
      </c>
      <c r="R64" s="8">
        <f>VLOOKUP(B64,'Program 10'!$A$7:$G$64,7)</f>
        <v>17559.208233532929</v>
      </c>
      <c r="S64" s="87">
        <f>VLOOKUP(B64,'Program 90'!$A$7:$G$64,6)</f>
        <v>0.11070000000000001</v>
      </c>
      <c r="T64" s="8">
        <f>VLOOKUP(B64,'Program 90'!$A$7:$G$64,7)</f>
        <v>21757.404714285716</v>
      </c>
      <c r="U64" s="72">
        <f>(D64*VLOOKUP(B64,'FTE Allotment Factor'!$B$7:$H$64,7,FALSE)*Q64)+(D64*R64)</f>
        <v>1275669.2091011254</v>
      </c>
      <c r="V64" s="72">
        <f>((((E64-1)*VLOOKUP(B64,'FTE Allotment Factor'!$B$7:$H$64,7,FALSE))+(K64*N64))*S64)+(T64*E64)</f>
        <v>337015.50034512376</v>
      </c>
      <c r="W64" s="90">
        <f t="shared" si="9"/>
        <v>1612684.7094462491</v>
      </c>
      <c r="Y64" s="90">
        <f>F64*(VLOOKUP(A64, 'OE&amp;E by Cluster'!$B$6:$C$9,2,FALSE))</f>
        <v>1156609.4800713621</v>
      </c>
      <c r="AA64" s="249">
        <f>'AB1058'!E62</f>
        <v>191846.98</v>
      </c>
      <c r="AB64" s="90">
        <f t="shared" si="10"/>
        <v>7883563.5921813641</v>
      </c>
      <c r="AC64" s="91">
        <f t="shared" si="11"/>
        <v>2.9004065000183886E-3</v>
      </c>
      <c r="AD64" s="55">
        <f>AB64/F64</f>
        <v>140777.92128895293</v>
      </c>
    </row>
    <row r="65" spans="1:29" ht="20.100000000000001" customHeight="1" thickBot="1" x14ac:dyDescent="0.35">
      <c r="B65" s="98" t="s">
        <v>62</v>
      </c>
      <c r="D65" s="69">
        <f>SUM(D7:D64)</f>
        <v>13765</v>
      </c>
      <c r="E65" s="69">
        <f>SUM(E7:E64)</f>
        <v>2558</v>
      </c>
      <c r="F65" s="69">
        <f>SUM(F7:F64)</f>
        <v>16323</v>
      </c>
      <c r="H65" s="99"/>
      <c r="I65" s="99"/>
      <c r="J65" s="99"/>
      <c r="K65" s="99"/>
      <c r="L65" s="77">
        <f>SUM(L7:L64)</f>
        <v>13035805.205329008</v>
      </c>
      <c r="N65" s="59"/>
      <c r="O65" s="77">
        <f>SUM(O7:O64)</f>
        <v>1506782208.1649873</v>
      </c>
      <c r="Q65" s="56"/>
      <c r="R65" s="56"/>
      <c r="S65" s="56"/>
      <c r="T65" s="56"/>
      <c r="U65" s="86">
        <f>SUM(U7:U64)</f>
        <v>769761227.07083416</v>
      </c>
      <c r="V65" s="86">
        <f>SUM(V7:V64)</f>
        <v>149917123.20251507</v>
      </c>
      <c r="W65" s="86">
        <f>SUM(W7:W64)</f>
        <v>919678350.27334929</v>
      </c>
      <c r="Y65" s="86">
        <f t="shared" ref="Y65" si="14">SUM(Y7:Y64)</f>
        <v>342655232.22040033</v>
      </c>
      <c r="AA65" s="86">
        <f>SUM(AA7:AA64)</f>
        <v>51026587.599999994</v>
      </c>
      <c r="AB65" s="86">
        <f>SUM(AB7:AB64)</f>
        <v>2718089203.0587378</v>
      </c>
      <c r="AC65" s="93">
        <f t="shared" ref="AC65" si="15">SUM(AC7:AC64)</f>
        <v>0.99999999999999978</v>
      </c>
    </row>
    <row r="66" spans="1:29" ht="15" thickTop="1" x14ac:dyDescent="0.3">
      <c r="D66" s="54"/>
      <c r="E66" s="54"/>
      <c r="F66" s="54"/>
      <c r="H66" s="56"/>
      <c r="I66" s="56"/>
      <c r="J66" s="56"/>
      <c r="K66" s="55"/>
      <c r="L66" s="168"/>
      <c r="N66" s="55"/>
      <c r="O66" s="168"/>
      <c r="Q66" s="56"/>
      <c r="R66" s="56"/>
      <c r="S66" s="56"/>
      <c r="T66" s="56"/>
      <c r="U66" s="56"/>
      <c r="V66" s="56"/>
      <c r="W66" s="55"/>
      <c r="Y66" s="55"/>
      <c r="AA66" s="55"/>
      <c r="AB66" s="169"/>
      <c r="AC66" s="60"/>
    </row>
    <row r="67" spans="1:29" ht="20.100000000000001" customHeight="1" x14ac:dyDescent="0.3">
      <c r="A67" s="53"/>
      <c r="B67" s="61" t="s">
        <v>238</v>
      </c>
      <c r="C67" s="61"/>
      <c r="D67" s="61"/>
      <c r="E67" s="61"/>
      <c r="F67" s="61"/>
      <c r="G67" s="61"/>
      <c r="H67" s="61"/>
      <c r="I67" s="61"/>
      <c r="J67" s="61"/>
      <c r="K67" s="61"/>
      <c r="L67" s="61"/>
      <c r="M67" s="61"/>
      <c r="N67" s="61"/>
      <c r="O67" s="61"/>
      <c r="P67" s="61"/>
      <c r="Q67" s="61"/>
      <c r="R67" s="61"/>
      <c r="S67" s="61"/>
      <c r="T67" s="61"/>
      <c r="U67" s="242"/>
      <c r="V67" s="61"/>
      <c r="W67" s="61"/>
      <c r="X67" s="61"/>
      <c r="Y67" s="243"/>
      <c r="Z67" s="61"/>
      <c r="AA67" s="244"/>
      <c r="AB67" s="245"/>
      <c r="AC67" s="246"/>
    </row>
    <row r="68" spans="1:29" ht="20.100000000000001" customHeight="1" x14ac:dyDescent="0.3">
      <c r="A68" s="53"/>
      <c r="B68" s="239" t="s">
        <v>221</v>
      </c>
      <c r="C68" s="239"/>
      <c r="D68" s="239"/>
      <c r="E68" s="239"/>
      <c r="F68" s="239"/>
      <c r="G68" s="239"/>
      <c r="H68" s="239"/>
      <c r="I68" s="239"/>
      <c r="J68" s="239"/>
      <c r="K68" s="239"/>
      <c r="L68" s="239"/>
      <c r="M68" s="239"/>
      <c r="N68" s="239"/>
      <c r="O68" s="239"/>
      <c r="P68" s="61"/>
      <c r="Q68" s="61"/>
      <c r="R68" s="61"/>
      <c r="S68" s="61"/>
      <c r="T68" s="61"/>
      <c r="U68" s="242"/>
      <c r="V68" s="61"/>
      <c r="W68" s="61"/>
      <c r="X68" s="61"/>
      <c r="Y68" s="243"/>
      <c r="Z68" s="61"/>
      <c r="AA68" s="244"/>
      <c r="AB68" s="245"/>
      <c r="AC68" s="246"/>
    </row>
    <row r="69" spans="1:29" ht="17.55" customHeight="1" x14ac:dyDescent="0.3">
      <c r="A69" s="53"/>
      <c r="B69" s="61" t="s">
        <v>242</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 customHeight="1" x14ac:dyDescent="0.3">
      <c r="B70" s="274" t="s">
        <v>224</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row>
    <row r="71" spans="1:29" ht="18.600000000000001" customHeight="1" x14ac:dyDescent="0.3">
      <c r="B71" s="61" t="s">
        <v>243</v>
      </c>
      <c r="C71" s="61"/>
      <c r="D71" s="61"/>
      <c r="E71" s="61"/>
      <c r="F71" s="61"/>
      <c r="G71" s="61"/>
      <c r="H71" s="61"/>
      <c r="I71" s="61"/>
      <c r="J71" s="61"/>
      <c r="K71" s="61"/>
      <c r="L71" s="61"/>
      <c r="M71" s="61"/>
      <c r="N71" s="61"/>
      <c r="O71" s="61"/>
      <c r="P71" s="61"/>
      <c r="Q71" s="61"/>
      <c r="R71" s="61"/>
      <c r="S71" s="61"/>
      <c r="T71" s="61"/>
      <c r="U71" s="61"/>
      <c r="V71" s="61"/>
      <c r="W71" s="247"/>
      <c r="X71" s="61"/>
      <c r="Y71" s="61"/>
      <c r="Z71" s="61"/>
      <c r="AA71" s="61"/>
      <c r="AB71" s="245"/>
      <c r="AC71" s="61"/>
    </row>
    <row r="72" spans="1:29" ht="25.05" customHeight="1" x14ac:dyDescent="0.3">
      <c r="A72" s="61"/>
      <c r="B72" s="61" t="s">
        <v>226</v>
      </c>
      <c r="C72" s="268"/>
      <c r="D72" s="268"/>
      <c r="E72" s="268"/>
      <c r="F72" s="268"/>
      <c r="G72" s="268"/>
      <c r="H72" s="268"/>
      <c r="I72" s="268"/>
      <c r="J72" s="61"/>
      <c r="K72" s="248"/>
      <c r="L72" s="61"/>
      <c r="M72" s="61"/>
      <c r="N72" s="61"/>
      <c r="O72" s="61"/>
      <c r="P72" s="61"/>
      <c r="Q72" s="61"/>
      <c r="R72" s="61"/>
      <c r="S72" s="61"/>
      <c r="T72" s="61"/>
      <c r="U72" s="242"/>
      <c r="V72" s="61"/>
      <c r="W72" s="61"/>
      <c r="X72" s="61"/>
      <c r="Y72" s="243"/>
      <c r="Z72" s="61"/>
      <c r="AA72" s="244"/>
      <c r="AB72" s="245"/>
      <c r="AC72" s="246"/>
    </row>
    <row r="73" spans="1:29" ht="16.2" x14ac:dyDescent="0.3">
      <c r="B73" s="53" t="s">
        <v>236</v>
      </c>
    </row>
    <row r="74" spans="1:29" ht="16.2" x14ac:dyDescent="0.3">
      <c r="B74" s="267"/>
    </row>
  </sheetData>
  <sortState xmlns:xlrd2="http://schemas.microsoft.com/office/spreadsheetml/2017/richdata2"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2"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K67"/>
  <sheetViews>
    <sheetView zoomScale="85" zoomScaleNormal="85" workbookViewId="0">
      <pane xSplit="2" ySplit="6" topLeftCell="C43" activePane="bottomRight" state="frozen"/>
      <selection pane="topRight" activeCell="D1" sqref="D1"/>
      <selection pane="bottomLeft" activeCell="A6" sqref="A6"/>
      <selection pane="bottomRight" activeCell="M59" sqref="M59"/>
    </sheetView>
  </sheetViews>
  <sheetFormatPr defaultColWidth="9.21875" defaultRowHeight="14.4" x14ac:dyDescent="0.3"/>
  <cols>
    <col min="1" max="1" width="8.21875" style="1" bestFit="1" customWidth="1"/>
    <col min="2" max="8" width="15.77734375" style="1" customWidth="1"/>
    <col min="9" max="9" width="15.77734375" style="147" customWidth="1"/>
    <col min="10" max="16384" width="9.21875" style="1"/>
  </cols>
  <sheetData>
    <row r="1" spans="1:11" ht="18" x14ac:dyDescent="0.35">
      <c r="A1" s="2" t="s">
        <v>177</v>
      </c>
    </row>
    <row r="2" spans="1:11" ht="15" customHeight="1" x14ac:dyDescent="0.3">
      <c r="A2" s="49" t="s">
        <v>246</v>
      </c>
    </row>
    <row r="3" spans="1:11" ht="15" customHeight="1" x14ac:dyDescent="0.3">
      <c r="A3" s="152"/>
    </row>
    <row r="4" spans="1:11" ht="15" customHeight="1" x14ac:dyDescent="0.3">
      <c r="A4" s="148"/>
      <c r="F4" s="290" t="s">
        <v>180</v>
      </c>
      <c r="G4" s="291"/>
      <c r="H4" s="291"/>
    </row>
    <row r="5" spans="1:11" ht="55.2" x14ac:dyDescent="0.3">
      <c r="A5" s="286" t="s">
        <v>68</v>
      </c>
      <c r="B5" s="288" t="s">
        <v>73</v>
      </c>
      <c r="C5" s="11" t="s">
        <v>72</v>
      </c>
      <c r="D5" s="11" t="s">
        <v>71</v>
      </c>
      <c r="E5" s="153" t="s">
        <v>70</v>
      </c>
      <c r="F5" s="74" t="s">
        <v>181</v>
      </c>
      <c r="G5" s="74" t="s">
        <v>182</v>
      </c>
      <c r="H5" s="74" t="s">
        <v>183</v>
      </c>
      <c r="I5" s="88" t="s">
        <v>178</v>
      </c>
      <c r="K5" s="271"/>
    </row>
    <row r="6" spans="1:11" x14ac:dyDescent="0.3">
      <c r="A6" s="287"/>
      <c r="B6" s="289"/>
      <c r="C6" s="78" t="s">
        <v>65</v>
      </c>
      <c r="D6" s="78" t="s">
        <v>1</v>
      </c>
      <c r="E6" s="78" t="s">
        <v>66</v>
      </c>
      <c r="F6" s="78" t="s">
        <v>2</v>
      </c>
      <c r="G6" s="78" t="s">
        <v>3</v>
      </c>
      <c r="H6" s="78" t="s">
        <v>83</v>
      </c>
      <c r="I6" s="78" t="s">
        <v>114</v>
      </c>
    </row>
    <row r="7" spans="1:11" ht="15" customHeight="1" x14ac:dyDescent="0.3">
      <c r="A7" s="5">
        <v>4</v>
      </c>
      <c r="B7" s="6" t="s">
        <v>53</v>
      </c>
      <c r="C7" s="145">
        <v>0.74715566635131836</v>
      </c>
      <c r="D7" s="145">
        <v>0.25284433364868164</v>
      </c>
      <c r="E7" s="146" t="s">
        <v>244</v>
      </c>
      <c r="F7" s="264">
        <v>1.4990849494934082</v>
      </c>
      <c r="G7" s="264">
        <v>1.4882490634918213</v>
      </c>
      <c r="H7" s="264">
        <v>1.4936670064926147</v>
      </c>
      <c r="I7" s="264">
        <v>1.4990849494934082</v>
      </c>
      <c r="J7"/>
    </row>
    <row r="8" spans="1:11" ht="15" customHeight="1" x14ac:dyDescent="0.3">
      <c r="A8" s="5">
        <v>1</v>
      </c>
      <c r="B8" s="7" t="s">
        <v>4</v>
      </c>
      <c r="C8" s="145">
        <v>0.93212670087814331</v>
      </c>
      <c r="D8" s="145">
        <v>6.7873306572437286E-2</v>
      </c>
      <c r="E8" s="146" t="s">
        <v>244</v>
      </c>
      <c r="F8" s="264">
        <v>0.76341408491134644</v>
      </c>
      <c r="G8" s="264">
        <v>0.64004403352737427</v>
      </c>
      <c r="H8" s="264">
        <v>0.70172905921936035</v>
      </c>
      <c r="I8" s="264">
        <v>0.76341408491134644</v>
      </c>
      <c r="J8"/>
    </row>
    <row r="9" spans="1:11" ht="15" customHeight="1" x14ac:dyDescent="0.3">
      <c r="A9" s="5">
        <v>1</v>
      </c>
      <c r="B9" s="7" t="s">
        <v>5</v>
      </c>
      <c r="C9" s="145">
        <v>0.29123067855834961</v>
      </c>
      <c r="D9" s="145">
        <v>0.70876932144165039</v>
      </c>
      <c r="E9" s="230" t="s">
        <v>245</v>
      </c>
      <c r="F9" s="264">
        <v>0.93530058860778809</v>
      </c>
      <c r="G9" s="264">
        <v>1.0031222105026245</v>
      </c>
      <c r="H9" s="264">
        <v>0.9692113995552063</v>
      </c>
      <c r="I9" s="264">
        <v>0.9692113995552063</v>
      </c>
      <c r="J9"/>
    </row>
    <row r="10" spans="1:11" ht="15" customHeight="1" x14ac:dyDescent="0.3">
      <c r="A10" s="5">
        <v>2</v>
      </c>
      <c r="B10" s="6" t="s">
        <v>19</v>
      </c>
      <c r="C10" s="145">
        <v>0.79142540693283081</v>
      </c>
      <c r="D10" s="145">
        <v>0.20857454836368561</v>
      </c>
      <c r="E10" s="146" t="s">
        <v>244</v>
      </c>
      <c r="F10" s="264">
        <v>0.88099724054336548</v>
      </c>
      <c r="G10" s="264">
        <v>0.91473311185836792</v>
      </c>
      <c r="H10" s="264">
        <v>0.8978651762008667</v>
      </c>
      <c r="I10" s="264">
        <v>0.88099724054336548</v>
      </c>
      <c r="J10"/>
    </row>
    <row r="11" spans="1:11" ht="15" customHeight="1" x14ac:dyDescent="0.3">
      <c r="A11" s="5">
        <v>1</v>
      </c>
      <c r="B11" s="7" t="s">
        <v>6</v>
      </c>
      <c r="C11" s="145">
        <v>0.64119064807891846</v>
      </c>
      <c r="D11" s="145">
        <v>0.35880932211875916</v>
      </c>
      <c r="E11" s="146" t="s">
        <v>244</v>
      </c>
      <c r="F11" s="264">
        <v>0.83960831165313721</v>
      </c>
      <c r="G11" s="264">
        <v>0.8567771315574646</v>
      </c>
      <c r="H11" s="264">
        <v>0.84819269180297852</v>
      </c>
      <c r="I11" s="264">
        <v>0.83960831165313721</v>
      </c>
      <c r="J11"/>
    </row>
    <row r="12" spans="1:11" ht="15" customHeight="1" x14ac:dyDescent="0.3">
      <c r="A12" s="5">
        <v>1</v>
      </c>
      <c r="B12" s="7" t="s">
        <v>7</v>
      </c>
      <c r="C12" s="145">
        <v>0.95883303880691528</v>
      </c>
      <c r="D12" s="145">
        <v>4.1166935116052628E-2</v>
      </c>
      <c r="E12" s="146" t="s">
        <v>244</v>
      </c>
      <c r="F12" s="264">
        <v>0.73153221607208252</v>
      </c>
      <c r="G12" s="264">
        <v>0.85345536470413208</v>
      </c>
      <c r="H12" s="264">
        <v>0.79249382019042969</v>
      </c>
      <c r="I12" s="264">
        <v>0.73153221607208252</v>
      </c>
      <c r="J12"/>
    </row>
    <row r="13" spans="1:11" ht="15" customHeight="1" x14ac:dyDescent="0.3">
      <c r="A13" s="5">
        <v>3</v>
      </c>
      <c r="B13" s="6" t="s">
        <v>41</v>
      </c>
      <c r="C13" s="145">
        <v>0.94657254219055176</v>
      </c>
      <c r="D13" s="145">
        <v>5.3427476435899734E-2</v>
      </c>
      <c r="E13" s="146" t="s">
        <v>244</v>
      </c>
      <c r="F13" s="264">
        <v>1.3397237062454224</v>
      </c>
      <c r="G13" s="264">
        <v>1.0492093563079834</v>
      </c>
      <c r="H13" s="264">
        <v>1.1944665908813477</v>
      </c>
      <c r="I13" s="264">
        <v>1.3397237062454224</v>
      </c>
      <c r="J13"/>
    </row>
    <row r="14" spans="1:11" ht="15" customHeight="1" x14ac:dyDescent="0.3">
      <c r="A14" s="5">
        <v>1</v>
      </c>
      <c r="B14" s="7" t="s">
        <v>8</v>
      </c>
      <c r="C14" s="145">
        <v>0.34935745596885681</v>
      </c>
      <c r="D14" s="145">
        <v>0.65064257383346558</v>
      </c>
      <c r="E14" s="230" t="s">
        <v>245</v>
      </c>
      <c r="F14" s="264">
        <v>0.67261844873428345</v>
      </c>
      <c r="G14" s="264">
        <v>0.82799625396728516</v>
      </c>
      <c r="H14" s="264">
        <v>0.75030732154846191</v>
      </c>
      <c r="I14" s="264">
        <v>0.75030732154846191</v>
      </c>
      <c r="J14"/>
    </row>
    <row r="15" spans="1:11" ht="15" customHeight="1" x14ac:dyDescent="0.3">
      <c r="A15" s="5">
        <v>2</v>
      </c>
      <c r="B15" s="7" t="s">
        <v>20</v>
      </c>
      <c r="C15" s="145">
        <v>0.85214883089065552</v>
      </c>
      <c r="D15" s="145">
        <v>0.14785118401050568</v>
      </c>
      <c r="E15" s="146" t="s">
        <v>244</v>
      </c>
      <c r="F15" s="264">
        <v>1.1001462936401367</v>
      </c>
      <c r="G15" s="264">
        <v>1.0041166543960571</v>
      </c>
      <c r="H15" s="264">
        <v>1.0521314144134521</v>
      </c>
      <c r="I15" s="264">
        <v>1.1001462936401367</v>
      </c>
      <c r="J15"/>
    </row>
    <row r="16" spans="1:11" ht="15" customHeight="1" x14ac:dyDescent="0.3">
      <c r="A16" s="5">
        <v>3</v>
      </c>
      <c r="B16" s="6" t="s">
        <v>42</v>
      </c>
      <c r="C16" s="145">
        <v>0.67743617296218872</v>
      </c>
      <c r="D16" s="145">
        <v>0.32256388664245605</v>
      </c>
      <c r="E16" s="146" t="s">
        <v>244</v>
      </c>
      <c r="F16" s="264">
        <v>0.92633306980133057</v>
      </c>
      <c r="G16" s="264">
        <v>1.1349927186965942</v>
      </c>
      <c r="H16" s="264">
        <v>1.0306628942489624</v>
      </c>
      <c r="I16" s="264">
        <v>0.92633306980133057</v>
      </c>
      <c r="J16"/>
    </row>
    <row r="17" spans="1:10" ht="15" customHeight="1" x14ac:dyDescent="0.3">
      <c r="A17" s="5">
        <v>1</v>
      </c>
      <c r="B17" s="7" t="s">
        <v>9</v>
      </c>
      <c r="C17" s="145">
        <v>0.95787054300308228</v>
      </c>
      <c r="D17" s="145">
        <v>4.2129453271627426E-2</v>
      </c>
      <c r="E17" s="146" t="s">
        <v>244</v>
      </c>
      <c r="F17" s="264">
        <v>0.76000344753265381</v>
      </c>
      <c r="G17" s="264">
        <v>1.0613249540328979</v>
      </c>
      <c r="H17" s="264">
        <v>0.91066420078277588</v>
      </c>
      <c r="I17" s="264">
        <v>0.76000344753265381</v>
      </c>
      <c r="J17"/>
    </row>
    <row r="18" spans="1:10" ht="15" customHeight="1" x14ac:dyDescent="0.3">
      <c r="A18" s="5">
        <v>2</v>
      </c>
      <c r="B18" s="7" t="s">
        <v>21</v>
      </c>
      <c r="C18" s="145">
        <v>0.74263447523117065</v>
      </c>
      <c r="D18" s="145">
        <v>0.25736552476882935</v>
      </c>
      <c r="E18" s="146" t="s">
        <v>244</v>
      </c>
      <c r="F18" s="264">
        <v>0.75199234485626221</v>
      </c>
      <c r="G18" s="264">
        <v>1.1224489212036133</v>
      </c>
      <c r="H18" s="264">
        <v>0.93722063302993774</v>
      </c>
      <c r="I18" s="264">
        <v>0.75199234485626221</v>
      </c>
      <c r="J18"/>
    </row>
    <row r="19" spans="1:10" ht="15" customHeight="1" x14ac:dyDescent="0.3">
      <c r="A19" s="5">
        <v>2</v>
      </c>
      <c r="B19" s="6" t="s">
        <v>22</v>
      </c>
      <c r="C19" s="145">
        <v>0.51681345701217651</v>
      </c>
      <c r="D19" s="145">
        <v>0.4831865131855011</v>
      </c>
      <c r="E19" s="146" t="s">
        <v>244</v>
      </c>
      <c r="F19" s="264">
        <v>0.6944887638092041</v>
      </c>
      <c r="G19" s="264">
        <v>0.89241290092468262</v>
      </c>
      <c r="H19" s="264">
        <v>0.79345083236694336</v>
      </c>
      <c r="I19" s="264">
        <v>0.6944887638092041</v>
      </c>
      <c r="J19"/>
    </row>
    <row r="20" spans="1:10" ht="15" customHeight="1" x14ac:dyDescent="0.3">
      <c r="A20" s="5">
        <v>1</v>
      </c>
      <c r="B20" s="7" t="s">
        <v>10</v>
      </c>
      <c r="C20" s="145">
        <v>0.68151634931564331</v>
      </c>
      <c r="D20" s="145">
        <v>0.31848368048667908</v>
      </c>
      <c r="E20" s="146" t="s">
        <v>244</v>
      </c>
      <c r="F20" s="264">
        <v>0.77116131782531738</v>
      </c>
      <c r="G20" s="264">
        <v>1.0375711917877197</v>
      </c>
      <c r="H20" s="264">
        <v>0.90436625480651855</v>
      </c>
      <c r="I20" s="264">
        <v>0.77116131782531738</v>
      </c>
      <c r="J20"/>
    </row>
    <row r="21" spans="1:10" ht="15" customHeight="1" x14ac:dyDescent="0.3">
      <c r="A21" s="5">
        <v>3</v>
      </c>
      <c r="B21" s="7" t="s">
        <v>43</v>
      </c>
      <c r="C21" s="145">
        <v>0.56881260871887207</v>
      </c>
      <c r="D21" s="145">
        <v>0.43118739128112793</v>
      </c>
      <c r="E21" s="146" t="s">
        <v>244</v>
      </c>
      <c r="F21" s="264">
        <v>0.9111626148223877</v>
      </c>
      <c r="G21" s="264">
        <v>1.0149174928665161</v>
      </c>
      <c r="H21" s="264">
        <v>0.9630400538444519</v>
      </c>
      <c r="I21" s="264">
        <v>0.9111626148223877</v>
      </c>
      <c r="J21"/>
    </row>
    <row r="22" spans="1:10" ht="15" customHeight="1" x14ac:dyDescent="0.3">
      <c r="A22" s="5">
        <v>2</v>
      </c>
      <c r="B22" s="6" t="s">
        <v>23</v>
      </c>
      <c r="C22" s="145">
        <v>0.35121536254882813</v>
      </c>
      <c r="D22" s="145">
        <v>0.6487845778465271</v>
      </c>
      <c r="E22" s="231" t="s">
        <v>245</v>
      </c>
      <c r="F22" s="264">
        <v>0.83739686012268066</v>
      </c>
      <c r="G22" s="264">
        <v>0.86427569389343262</v>
      </c>
      <c r="H22" s="264">
        <v>0.85083627700805664</v>
      </c>
      <c r="I22" s="264">
        <v>0.85083627700805664</v>
      </c>
      <c r="J22"/>
    </row>
    <row r="23" spans="1:10" ht="15" customHeight="1" x14ac:dyDescent="0.3">
      <c r="A23" s="5">
        <v>2</v>
      </c>
      <c r="B23" s="7" t="s">
        <v>24</v>
      </c>
      <c r="C23" s="145">
        <v>0.94808125495910645</v>
      </c>
      <c r="D23" s="145">
        <v>5.1918737590312958E-2</v>
      </c>
      <c r="E23" s="146" t="s">
        <v>244</v>
      </c>
      <c r="F23" s="264">
        <v>0.74541729688644409</v>
      </c>
      <c r="G23" s="264">
        <v>0.78697556257247925</v>
      </c>
      <c r="H23" s="264">
        <v>0.76619642972946167</v>
      </c>
      <c r="I23" s="264">
        <v>0.74541729688644409</v>
      </c>
      <c r="J23"/>
    </row>
    <row r="24" spans="1:10" ht="15" customHeight="1" x14ac:dyDescent="0.3">
      <c r="A24" s="5">
        <v>1</v>
      </c>
      <c r="B24" s="7" t="s">
        <v>11</v>
      </c>
      <c r="C24" s="145">
        <v>0.18323785066604614</v>
      </c>
      <c r="D24" s="145">
        <v>0.81676214933395386</v>
      </c>
      <c r="E24" s="231" t="s">
        <v>245</v>
      </c>
      <c r="F24" s="264">
        <v>0.6924583911895752</v>
      </c>
      <c r="G24" s="264">
        <v>0.90560030937194824</v>
      </c>
      <c r="H24" s="264">
        <v>0.79902935028076172</v>
      </c>
      <c r="I24" s="264">
        <v>0.79902935028076172</v>
      </c>
      <c r="J24"/>
    </row>
    <row r="25" spans="1:10" ht="15" customHeight="1" x14ac:dyDescent="0.3">
      <c r="A25" s="5">
        <v>4</v>
      </c>
      <c r="B25" s="6" t="s">
        <v>54</v>
      </c>
      <c r="C25" s="145">
        <v>0.90161263942718506</v>
      </c>
      <c r="D25" s="145">
        <v>9.8387360572814941E-2</v>
      </c>
      <c r="E25" s="146" t="s">
        <v>244</v>
      </c>
      <c r="F25" s="264">
        <v>1.3778952360153198</v>
      </c>
      <c r="G25" s="264">
        <v>1.2644221782684326</v>
      </c>
      <c r="H25" s="264">
        <v>1.3211586475372314</v>
      </c>
      <c r="I25" s="264">
        <v>1.3778952360153198</v>
      </c>
      <c r="J25"/>
    </row>
    <row r="26" spans="1:10" ht="15" customHeight="1" x14ac:dyDescent="0.3">
      <c r="A26" s="5">
        <v>2</v>
      </c>
      <c r="B26" s="7" t="s">
        <v>25</v>
      </c>
      <c r="C26" s="145">
        <v>0.43590870499610901</v>
      </c>
      <c r="D26" s="145">
        <v>0.56409132480621338</v>
      </c>
      <c r="E26" s="231" t="s">
        <v>245</v>
      </c>
      <c r="F26" s="264">
        <v>0.8276943564414978</v>
      </c>
      <c r="G26" s="264">
        <v>0.99439126253128052</v>
      </c>
      <c r="H26" s="264">
        <v>0.91104280948638916</v>
      </c>
      <c r="I26" s="264">
        <v>0.91104280948638916</v>
      </c>
      <c r="J26"/>
    </row>
    <row r="27" spans="1:10" ht="15" customHeight="1" x14ac:dyDescent="0.3">
      <c r="A27" s="5">
        <v>2</v>
      </c>
      <c r="B27" s="7" t="s">
        <v>26</v>
      </c>
      <c r="C27" s="145">
        <v>0.65795207023620605</v>
      </c>
      <c r="D27" s="145">
        <v>0.34204792976379395</v>
      </c>
      <c r="E27" s="146" t="s">
        <v>244</v>
      </c>
      <c r="F27" s="264">
        <v>1.2774569988250732</v>
      </c>
      <c r="G27" s="264">
        <v>0.95554184913635254</v>
      </c>
      <c r="H27" s="264">
        <v>1.1164994239807129</v>
      </c>
      <c r="I27" s="264">
        <v>1.2774569988250732</v>
      </c>
      <c r="J27"/>
    </row>
    <row r="28" spans="1:10" ht="15" customHeight="1" x14ac:dyDescent="0.3">
      <c r="A28" s="5">
        <v>1</v>
      </c>
      <c r="B28" s="6" t="s">
        <v>12</v>
      </c>
      <c r="C28" s="145">
        <v>0.48119726777076721</v>
      </c>
      <c r="D28" s="145">
        <v>0.51880276203155518</v>
      </c>
      <c r="E28" s="146" t="s">
        <v>245</v>
      </c>
      <c r="F28" s="264">
        <v>0.89562290906906128</v>
      </c>
      <c r="G28" s="264">
        <v>0.83021146059036255</v>
      </c>
      <c r="H28" s="264">
        <v>0.86291718482971191</v>
      </c>
      <c r="I28" s="264">
        <v>0.86291718482971191</v>
      </c>
      <c r="J28"/>
    </row>
    <row r="29" spans="1:10" ht="15" customHeight="1" x14ac:dyDescent="0.3">
      <c r="A29" s="5">
        <v>2</v>
      </c>
      <c r="B29" s="7" t="s">
        <v>27</v>
      </c>
      <c r="C29" s="145">
        <v>0.80412507057189941</v>
      </c>
      <c r="D29" s="145">
        <v>0.19587497413158417</v>
      </c>
      <c r="E29" s="146" t="s">
        <v>244</v>
      </c>
      <c r="F29" s="264">
        <v>0.79863435029983521</v>
      </c>
      <c r="G29" s="264">
        <v>0.84070426225662231</v>
      </c>
      <c r="H29" s="264">
        <v>0.81966930627822876</v>
      </c>
      <c r="I29" s="264">
        <v>0.79863435029983521</v>
      </c>
      <c r="J29"/>
    </row>
    <row r="30" spans="1:10" ht="15" customHeight="1" x14ac:dyDescent="0.3">
      <c r="A30" s="5">
        <v>2</v>
      </c>
      <c r="B30" s="7" t="s">
        <v>28</v>
      </c>
      <c r="C30" s="145">
        <v>0.89543569087982178</v>
      </c>
      <c r="D30" s="145">
        <v>0.10456431657075882</v>
      </c>
      <c r="E30" s="146" t="s">
        <v>244</v>
      </c>
      <c r="F30" s="264">
        <v>0.79453116655349731</v>
      </c>
      <c r="G30" s="264">
        <v>0.95704978704452515</v>
      </c>
      <c r="H30" s="264">
        <v>0.87579047679901123</v>
      </c>
      <c r="I30" s="264">
        <v>0.79453116655349731</v>
      </c>
      <c r="J30"/>
    </row>
    <row r="31" spans="1:10" ht="15" customHeight="1" x14ac:dyDescent="0.3">
      <c r="A31" s="5">
        <v>1</v>
      </c>
      <c r="B31" s="6" t="s">
        <v>13</v>
      </c>
      <c r="C31" s="145">
        <v>0.86570245027542114</v>
      </c>
      <c r="D31" s="145">
        <v>0.13429750502109528</v>
      </c>
      <c r="E31" s="146" t="s">
        <v>244</v>
      </c>
      <c r="F31" s="264">
        <v>0.55286097526550293</v>
      </c>
      <c r="G31" s="264">
        <v>1.0661207437515259</v>
      </c>
      <c r="H31" s="264">
        <v>0.8094908595085144</v>
      </c>
      <c r="I31" s="264">
        <v>0.55286097526550293</v>
      </c>
      <c r="J31"/>
    </row>
    <row r="32" spans="1:10" ht="15" customHeight="1" x14ac:dyDescent="0.3">
      <c r="A32" s="5">
        <v>1</v>
      </c>
      <c r="B32" s="7" t="s">
        <v>14</v>
      </c>
      <c r="C32" s="145">
        <v>0.90317922830581665</v>
      </c>
      <c r="D32" s="145">
        <v>9.6820816397666931E-2</v>
      </c>
      <c r="E32" s="146" t="s">
        <v>244</v>
      </c>
      <c r="F32" s="264">
        <v>0.89335083961486816</v>
      </c>
      <c r="G32" s="264">
        <v>0.93687182664871216</v>
      </c>
      <c r="H32" s="264">
        <v>0.91511130332946777</v>
      </c>
      <c r="I32" s="264">
        <v>0.89335083961486816</v>
      </c>
      <c r="J32"/>
    </row>
    <row r="33" spans="1:10" ht="15" customHeight="1" x14ac:dyDescent="0.3">
      <c r="A33" s="5">
        <v>3</v>
      </c>
      <c r="B33" s="7" t="s">
        <v>44</v>
      </c>
      <c r="C33" s="145">
        <v>0.61858910322189331</v>
      </c>
      <c r="D33" s="145">
        <v>0.38141089677810669</v>
      </c>
      <c r="E33" s="146" t="s">
        <v>244</v>
      </c>
      <c r="F33" s="264">
        <v>1.1405835151672363</v>
      </c>
      <c r="G33" s="264">
        <v>0.94162493944168091</v>
      </c>
      <c r="H33" s="264">
        <v>1.0411041975021362</v>
      </c>
      <c r="I33" s="264">
        <v>1.1405835151672363</v>
      </c>
      <c r="J33"/>
    </row>
    <row r="34" spans="1:10" ht="15" customHeight="1" x14ac:dyDescent="0.3">
      <c r="A34" s="5">
        <v>2</v>
      </c>
      <c r="B34" s="6" t="s">
        <v>29</v>
      </c>
      <c r="C34" s="145">
        <v>0.77471709251403809</v>
      </c>
      <c r="D34" s="145">
        <v>0.2252829372882843</v>
      </c>
      <c r="E34" s="146" t="s">
        <v>244</v>
      </c>
      <c r="F34" s="264">
        <v>1.259274959564209</v>
      </c>
      <c r="G34" s="264">
        <v>0.99105238914489746</v>
      </c>
      <c r="H34" s="264">
        <v>1.1251636743545532</v>
      </c>
      <c r="I34" s="264">
        <v>1.259274959564209</v>
      </c>
      <c r="J34"/>
    </row>
    <row r="35" spans="1:10" ht="15" customHeight="1" x14ac:dyDescent="0.3">
      <c r="A35" s="5">
        <v>2</v>
      </c>
      <c r="B35" s="7" t="s">
        <v>30</v>
      </c>
      <c r="C35" s="145">
        <v>0.70297396183013916</v>
      </c>
      <c r="D35" s="145">
        <v>0.29702603816986084</v>
      </c>
      <c r="E35" s="146" t="s">
        <v>244</v>
      </c>
      <c r="F35" s="264">
        <v>1.0702334642410278</v>
      </c>
      <c r="G35" s="264">
        <v>0.72531521320343018</v>
      </c>
      <c r="H35" s="264">
        <v>0.897774338722229</v>
      </c>
      <c r="I35" s="264">
        <v>1.0702334642410278</v>
      </c>
      <c r="J35"/>
    </row>
    <row r="36" spans="1:10" ht="15" customHeight="1" x14ac:dyDescent="0.3">
      <c r="A36" s="5">
        <v>4</v>
      </c>
      <c r="B36" s="7" t="s">
        <v>55</v>
      </c>
      <c r="C36" s="145">
        <v>0.88152825832366943</v>
      </c>
      <c r="D36" s="145">
        <v>0.11847171932458878</v>
      </c>
      <c r="E36" s="146" t="s">
        <v>244</v>
      </c>
      <c r="F36" s="264">
        <v>1.2341932058334351</v>
      </c>
      <c r="G36" s="264">
        <v>1.1733957529067993</v>
      </c>
      <c r="H36" s="264">
        <v>1.2037944793701172</v>
      </c>
      <c r="I36" s="264">
        <v>1.2341932058334351</v>
      </c>
      <c r="J36"/>
    </row>
    <row r="37" spans="1:10" ht="15" customHeight="1" x14ac:dyDescent="0.3">
      <c r="A37" s="5">
        <v>2</v>
      </c>
      <c r="B37" s="6" t="s">
        <v>31</v>
      </c>
      <c r="C37" s="145">
        <v>0.880199134349823</v>
      </c>
      <c r="D37" s="145">
        <v>0.119800865650177</v>
      </c>
      <c r="E37" s="146" t="s">
        <v>244</v>
      </c>
      <c r="F37" s="264">
        <v>1.1571140289306641</v>
      </c>
      <c r="G37" s="264">
        <v>0.9699784517288208</v>
      </c>
      <c r="H37" s="264">
        <v>1.0635461807250977</v>
      </c>
      <c r="I37" s="264">
        <v>1.1571140289306641</v>
      </c>
      <c r="J37"/>
    </row>
    <row r="38" spans="1:10" ht="15" customHeight="1" x14ac:dyDescent="0.3">
      <c r="A38" s="5">
        <v>1</v>
      </c>
      <c r="B38" s="7" t="s">
        <v>15</v>
      </c>
      <c r="C38" s="145">
        <v>0.91817647218704224</v>
      </c>
      <c r="D38" s="145">
        <v>8.1823490560054779E-2</v>
      </c>
      <c r="E38" s="146" t="s">
        <v>244</v>
      </c>
      <c r="F38" s="264">
        <v>0.70932430028915405</v>
      </c>
      <c r="G38" s="264">
        <v>0.87077736854553223</v>
      </c>
      <c r="H38" s="264">
        <v>0.79005086421966553</v>
      </c>
      <c r="I38" s="264">
        <v>0.70932430028915405</v>
      </c>
      <c r="J38"/>
    </row>
    <row r="39" spans="1:10" ht="15" customHeight="1" x14ac:dyDescent="0.3">
      <c r="A39" s="5">
        <v>4</v>
      </c>
      <c r="B39" s="7" t="s">
        <v>56</v>
      </c>
      <c r="C39" s="145">
        <v>0.79669773578643799</v>
      </c>
      <c r="D39" s="145">
        <v>0.20330227911472321</v>
      </c>
      <c r="E39" s="146" t="s">
        <v>244</v>
      </c>
      <c r="F39" s="264">
        <v>1.0686442852020264</v>
      </c>
      <c r="G39" s="264">
        <v>0.98170042037963867</v>
      </c>
      <c r="H39" s="264">
        <v>1.0251723527908325</v>
      </c>
      <c r="I39" s="264">
        <v>1.0686442852020264</v>
      </c>
      <c r="J39"/>
    </row>
    <row r="40" spans="1:10" ht="15" customHeight="1" x14ac:dyDescent="0.3">
      <c r="A40" s="5">
        <v>4</v>
      </c>
      <c r="B40" s="6" t="s">
        <v>57</v>
      </c>
      <c r="C40" s="145">
        <v>0.17546495795249939</v>
      </c>
      <c r="D40" s="145">
        <v>0.82453501224517822</v>
      </c>
      <c r="E40" s="231" t="s">
        <v>245</v>
      </c>
      <c r="F40" s="264">
        <v>1.1938388347625732</v>
      </c>
      <c r="G40" s="264">
        <v>1.4199086427688599</v>
      </c>
      <c r="H40" s="264">
        <v>1.3068737983703613</v>
      </c>
      <c r="I40" s="264">
        <v>1.3068737983703613</v>
      </c>
      <c r="J40"/>
    </row>
    <row r="41" spans="1:10" ht="15" customHeight="1" x14ac:dyDescent="0.3">
      <c r="A41" s="5">
        <v>1</v>
      </c>
      <c r="B41" s="7" t="s">
        <v>16</v>
      </c>
      <c r="C41" s="145">
        <v>0.90444445610046387</v>
      </c>
      <c r="D41" s="145">
        <v>9.5555558800697327E-2</v>
      </c>
      <c r="E41" s="146" t="s">
        <v>244</v>
      </c>
      <c r="F41" s="264">
        <v>1.0147144794464111</v>
      </c>
      <c r="G41" s="264">
        <v>0.74156123399734497</v>
      </c>
      <c r="H41" s="264">
        <v>0.87813782691955566</v>
      </c>
      <c r="I41" s="264">
        <v>1.0147144794464111</v>
      </c>
      <c r="J41"/>
    </row>
    <row r="42" spans="1:10" ht="15" customHeight="1" x14ac:dyDescent="0.3">
      <c r="A42" s="5">
        <v>4</v>
      </c>
      <c r="B42" s="7" t="s">
        <v>58</v>
      </c>
      <c r="C42" s="145">
        <v>0.76157987117767334</v>
      </c>
      <c r="D42" s="145">
        <v>0.23842012882232666</v>
      </c>
      <c r="E42" s="146" t="s">
        <v>244</v>
      </c>
      <c r="F42" s="264">
        <v>1.1317492723464966</v>
      </c>
      <c r="G42" s="264">
        <v>1.0394606590270996</v>
      </c>
      <c r="H42" s="264">
        <v>1.0856049060821533</v>
      </c>
      <c r="I42" s="264">
        <v>1.1317492723464966</v>
      </c>
      <c r="J42"/>
    </row>
    <row r="43" spans="1:10" ht="15" customHeight="1" x14ac:dyDescent="0.3">
      <c r="A43" s="5">
        <v>4</v>
      </c>
      <c r="B43" s="6" t="s">
        <v>59</v>
      </c>
      <c r="C43" s="145">
        <v>0.83416861295700073</v>
      </c>
      <c r="D43" s="145">
        <v>0.16583140194416046</v>
      </c>
      <c r="E43" s="146" t="s">
        <v>244</v>
      </c>
      <c r="F43" s="264">
        <v>1.1682393550872803</v>
      </c>
      <c r="G43" s="264">
        <v>1.1118098497390747</v>
      </c>
      <c r="H43" s="264">
        <v>1.1400246620178223</v>
      </c>
      <c r="I43" s="264">
        <v>1.1682393550872803</v>
      </c>
      <c r="J43"/>
    </row>
    <row r="44" spans="1:10" ht="15" customHeight="1" x14ac:dyDescent="0.3">
      <c r="A44" s="5">
        <v>3</v>
      </c>
      <c r="B44" s="7" t="s">
        <v>60</v>
      </c>
      <c r="C44" s="145">
        <v>0.59942114353179932</v>
      </c>
      <c r="D44" s="145">
        <v>0.40057888627052307</v>
      </c>
      <c r="E44" s="146" t="s">
        <v>244</v>
      </c>
      <c r="F44" s="264">
        <v>1.6445738077163696</v>
      </c>
      <c r="G44" s="264">
        <v>1.6318352222442627</v>
      </c>
      <c r="H44" s="264">
        <v>1.6382045745849609</v>
      </c>
      <c r="I44" s="264">
        <v>1.6445738077163696</v>
      </c>
      <c r="J44"/>
    </row>
    <row r="45" spans="1:10" ht="15" customHeight="1" x14ac:dyDescent="0.3">
      <c r="A45" s="5">
        <v>3</v>
      </c>
      <c r="B45" s="7" t="s">
        <v>45</v>
      </c>
      <c r="C45" s="145">
        <v>0.68588787317276001</v>
      </c>
      <c r="D45" s="145">
        <v>0.3141120970249176</v>
      </c>
      <c r="E45" s="146" t="s">
        <v>244</v>
      </c>
      <c r="F45" s="264">
        <v>1.0367940664291382</v>
      </c>
      <c r="G45" s="264">
        <v>0.97300183773040771</v>
      </c>
      <c r="H45" s="264">
        <v>1.0048979520797729</v>
      </c>
      <c r="I45" s="264">
        <v>1.0367940664291382</v>
      </c>
      <c r="J45"/>
    </row>
    <row r="46" spans="1:10" ht="15" customHeight="1" x14ac:dyDescent="0.3">
      <c r="A46" s="5">
        <v>2</v>
      </c>
      <c r="B46" s="6" t="s">
        <v>32</v>
      </c>
      <c r="C46" s="145">
        <v>0.55012190341949463</v>
      </c>
      <c r="D46" s="145">
        <v>0.44987818598747253</v>
      </c>
      <c r="E46" s="146" t="s">
        <v>244</v>
      </c>
      <c r="F46" s="264">
        <v>1.0249271392822266</v>
      </c>
      <c r="G46" s="264">
        <v>1.0412718057632446</v>
      </c>
      <c r="H46" s="264">
        <v>1.0330994129180908</v>
      </c>
      <c r="I46" s="264">
        <v>1.0249271392822266</v>
      </c>
      <c r="J46"/>
    </row>
    <row r="47" spans="1:10" ht="15" customHeight="1" x14ac:dyDescent="0.3">
      <c r="A47" s="5">
        <v>3</v>
      </c>
      <c r="B47" s="7" t="s">
        <v>46</v>
      </c>
      <c r="C47" s="145">
        <v>0.96495771408081055</v>
      </c>
      <c r="D47" s="145">
        <v>3.5042271018028259E-2</v>
      </c>
      <c r="E47" s="146" t="s">
        <v>244</v>
      </c>
      <c r="F47" s="264">
        <v>1.6069790124893188</v>
      </c>
      <c r="G47" s="264">
        <v>0.93467521667480469</v>
      </c>
      <c r="H47" s="264">
        <v>1.270827054977417</v>
      </c>
      <c r="I47" s="264">
        <v>1.6069790124893188</v>
      </c>
      <c r="J47"/>
    </row>
    <row r="48" spans="1:10" ht="15" customHeight="1" x14ac:dyDescent="0.3">
      <c r="A48" s="5">
        <v>3</v>
      </c>
      <c r="B48" s="7" t="s">
        <v>47</v>
      </c>
      <c r="C48" s="145">
        <v>0.92371690273284912</v>
      </c>
      <c r="D48" s="145">
        <v>7.6283082365989685E-2</v>
      </c>
      <c r="E48" s="146" t="s">
        <v>244</v>
      </c>
      <c r="F48" s="264">
        <v>1.2129175662994385</v>
      </c>
      <c r="G48" s="264">
        <v>1.0155893564224243</v>
      </c>
      <c r="H48" s="264">
        <v>1.1142535209655762</v>
      </c>
      <c r="I48" s="264">
        <v>1.2129175662994385</v>
      </c>
      <c r="J48"/>
    </row>
    <row r="49" spans="1:10" ht="15" customHeight="1" x14ac:dyDescent="0.3">
      <c r="A49" s="5">
        <v>4</v>
      </c>
      <c r="B49" s="6" t="s">
        <v>61</v>
      </c>
      <c r="C49" s="145">
        <v>0.94059532880783081</v>
      </c>
      <c r="D49" s="145">
        <v>5.9404660016298294E-2</v>
      </c>
      <c r="E49" s="146" t="s">
        <v>244</v>
      </c>
      <c r="F49" s="264">
        <v>1.493375301361084</v>
      </c>
      <c r="G49" s="264">
        <v>1.0831007957458496</v>
      </c>
      <c r="H49" s="264">
        <v>1.2882380485534668</v>
      </c>
      <c r="I49" s="264">
        <v>1.493375301361084</v>
      </c>
      <c r="J49"/>
    </row>
    <row r="50" spans="1:10" ht="15" customHeight="1" x14ac:dyDescent="0.3">
      <c r="A50" s="5">
        <v>2</v>
      </c>
      <c r="B50" s="7" t="s">
        <v>33</v>
      </c>
      <c r="C50" s="145">
        <v>0.84917765855789185</v>
      </c>
      <c r="D50" s="145">
        <v>0.15082231163978577</v>
      </c>
      <c r="E50" s="146" t="s">
        <v>244</v>
      </c>
      <c r="F50" s="264">
        <v>1.1142647266387939</v>
      </c>
      <c r="G50" s="264">
        <v>0.81744283437728882</v>
      </c>
      <c r="H50" s="264">
        <v>0.96585381031036377</v>
      </c>
      <c r="I50" s="264">
        <v>1.1142647266387939</v>
      </c>
      <c r="J50"/>
    </row>
    <row r="51" spans="1:10" ht="15" customHeight="1" x14ac:dyDescent="0.3">
      <c r="A51" s="5">
        <v>2</v>
      </c>
      <c r="B51" s="7" t="s">
        <v>34</v>
      </c>
      <c r="C51" s="145">
        <v>0.68591845035552979</v>
      </c>
      <c r="D51" s="145">
        <v>0.31408160924911499</v>
      </c>
      <c r="E51" s="146" t="s">
        <v>244</v>
      </c>
      <c r="F51" s="264">
        <v>0.90726649761199951</v>
      </c>
      <c r="G51" s="264">
        <v>1.0718436241149902</v>
      </c>
      <c r="H51" s="264">
        <v>0.98955506086349487</v>
      </c>
      <c r="I51" s="264">
        <v>0.90726649761199951</v>
      </c>
      <c r="J51"/>
    </row>
    <row r="52" spans="1:10" ht="15" customHeight="1" x14ac:dyDescent="0.3">
      <c r="A52" s="5">
        <v>1</v>
      </c>
      <c r="B52" s="6" t="s">
        <v>17</v>
      </c>
      <c r="C52" s="145">
        <v>1</v>
      </c>
      <c r="D52" s="145"/>
      <c r="E52" s="146" t="s">
        <v>244</v>
      </c>
      <c r="F52" s="264">
        <v>0.70744216442108154</v>
      </c>
      <c r="G52" s="264"/>
      <c r="H52" s="264">
        <v>0.70744216442108154</v>
      </c>
      <c r="I52" s="264">
        <v>0.70744216442108154</v>
      </c>
      <c r="J52"/>
    </row>
    <row r="53" spans="1:10" ht="15" customHeight="1" x14ac:dyDescent="0.3">
      <c r="A53" s="5">
        <v>2</v>
      </c>
      <c r="B53" s="7" t="s">
        <v>35</v>
      </c>
      <c r="C53" s="145">
        <v>0.71342343091964722</v>
      </c>
      <c r="D53" s="145">
        <v>0.28657662868499756</v>
      </c>
      <c r="E53" s="146" t="s">
        <v>244</v>
      </c>
      <c r="F53" s="264">
        <v>0.68684351444244385</v>
      </c>
      <c r="G53" s="264">
        <v>0.89520615339279175</v>
      </c>
      <c r="H53" s="264">
        <v>0.79102480411529541</v>
      </c>
      <c r="I53" s="264">
        <v>0.68684351444244385</v>
      </c>
      <c r="J53"/>
    </row>
    <row r="54" spans="1:10" ht="15" customHeight="1" x14ac:dyDescent="0.3">
      <c r="A54" s="5">
        <v>3</v>
      </c>
      <c r="B54" s="7" t="s">
        <v>48</v>
      </c>
      <c r="C54" s="145">
        <v>0.66704565286636353</v>
      </c>
      <c r="D54" s="145">
        <v>0.3329542875289917</v>
      </c>
      <c r="E54" s="146" t="s">
        <v>244</v>
      </c>
      <c r="F54" s="264">
        <v>1.2005521059036255</v>
      </c>
      <c r="G54" s="264">
        <v>1.1233735084533691</v>
      </c>
      <c r="H54" s="264">
        <v>1.1619627475738525</v>
      </c>
      <c r="I54" s="264">
        <v>1.2005521059036255</v>
      </c>
      <c r="J54"/>
    </row>
    <row r="55" spans="1:10" ht="15" customHeight="1" x14ac:dyDescent="0.3">
      <c r="A55" s="5">
        <v>3</v>
      </c>
      <c r="B55" s="6" t="s">
        <v>49</v>
      </c>
      <c r="C55" s="145">
        <v>0.89296388626098633</v>
      </c>
      <c r="D55" s="145">
        <v>0.10703610628843307</v>
      </c>
      <c r="E55" s="146" t="s">
        <v>244</v>
      </c>
      <c r="F55" s="264">
        <v>1.2093691825866699</v>
      </c>
      <c r="G55" s="264">
        <v>1.1102743148803711</v>
      </c>
      <c r="H55" s="264">
        <v>1.1598217487335205</v>
      </c>
      <c r="I55" s="264">
        <v>1.2093691825866699</v>
      </c>
      <c r="J55"/>
    </row>
    <row r="56" spans="1:10" ht="15" customHeight="1" x14ac:dyDescent="0.3">
      <c r="A56" s="5">
        <v>3</v>
      </c>
      <c r="B56" s="7" t="s">
        <v>50</v>
      </c>
      <c r="C56" s="145">
        <v>0.96160733699798584</v>
      </c>
      <c r="D56" s="145">
        <v>3.8392677903175354E-2</v>
      </c>
      <c r="E56" s="146" t="s">
        <v>244</v>
      </c>
      <c r="F56" s="264">
        <v>1.0253034830093384</v>
      </c>
      <c r="G56" s="264">
        <v>1.010656476020813</v>
      </c>
      <c r="H56" s="264">
        <v>1.0179799795150757</v>
      </c>
      <c r="I56" s="264">
        <v>1.0253034830093384</v>
      </c>
      <c r="J56"/>
    </row>
    <row r="57" spans="1:10" ht="15" customHeight="1" x14ac:dyDescent="0.3">
      <c r="A57" s="5">
        <v>2</v>
      </c>
      <c r="B57" s="7" t="s">
        <v>36</v>
      </c>
      <c r="C57" s="145">
        <v>0.94141411781311035</v>
      </c>
      <c r="D57" s="145">
        <v>5.8585859835147858E-2</v>
      </c>
      <c r="E57" s="146" t="s">
        <v>244</v>
      </c>
      <c r="F57" s="264">
        <v>0.93283271789550781</v>
      </c>
      <c r="G57" s="264">
        <v>1.0689656734466553</v>
      </c>
      <c r="H57" s="264">
        <v>1.0008991956710815</v>
      </c>
      <c r="I57" s="264">
        <v>0.93283271789550781</v>
      </c>
      <c r="J57"/>
    </row>
    <row r="58" spans="1:10" ht="15" customHeight="1" x14ac:dyDescent="0.3">
      <c r="A58" s="5">
        <v>2</v>
      </c>
      <c r="B58" s="6" t="s">
        <v>37</v>
      </c>
      <c r="C58" s="145">
        <v>0.69656491279602051</v>
      </c>
      <c r="D58" s="145">
        <v>0.30343514680862427</v>
      </c>
      <c r="E58" s="146" t="s">
        <v>244</v>
      </c>
      <c r="F58" s="264">
        <v>0.7393220067024231</v>
      </c>
      <c r="G58" s="264">
        <v>1.0093196630477905</v>
      </c>
      <c r="H58" s="264">
        <v>0.8743208646774292</v>
      </c>
      <c r="I58" s="264">
        <v>0.7393220067024231</v>
      </c>
      <c r="J58"/>
    </row>
    <row r="59" spans="1:10" ht="15" customHeight="1" x14ac:dyDescent="0.3">
      <c r="A59" s="5">
        <v>1</v>
      </c>
      <c r="B59" s="7" t="s">
        <v>18</v>
      </c>
      <c r="C59" s="145">
        <v>0.91176468133926392</v>
      </c>
      <c r="D59" s="145">
        <v>8.8235296308994293E-2</v>
      </c>
      <c r="E59" s="146" t="s">
        <v>244</v>
      </c>
      <c r="F59" s="264">
        <v>0.72917252779006958</v>
      </c>
      <c r="G59" s="264">
        <v>1.1498667001724243</v>
      </c>
      <c r="H59" s="264">
        <v>0.93951964378356934</v>
      </c>
      <c r="I59" s="264">
        <v>0.72917252779006958</v>
      </c>
      <c r="J59"/>
    </row>
    <row r="60" spans="1:10" ht="15" customHeight="1" x14ac:dyDescent="0.3">
      <c r="A60" s="5">
        <v>3</v>
      </c>
      <c r="B60" s="7" t="s">
        <v>51</v>
      </c>
      <c r="C60" s="145">
        <v>0.93942552804946899</v>
      </c>
      <c r="D60" s="145">
        <v>6.0574468225240707E-2</v>
      </c>
      <c r="E60" s="146" t="s">
        <v>244</v>
      </c>
      <c r="F60" s="264">
        <v>0.96143299341201782</v>
      </c>
      <c r="G60" s="264">
        <v>0.92930293083190918</v>
      </c>
      <c r="H60" s="264">
        <v>0.94536793231964111</v>
      </c>
      <c r="I60" s="264">
        <v>0.96143299341201782</v>
      </c>
      <c r="J60"/>
    </row>
    <row r="61" spans="1:10" ht="15" customHeight="1" x14ac:dyDescent="0.3">
      <c r="A61" s="5">
        <v>2</v>
      </c>
      <c r="B61" s="6" t="s">
        <v>38</v>
      </c>
      <c r="C61" s="145">
        <v>0.51934421062469482</v>
      </c>
      <c r="D61" s="145">
        <v>0.48065587878227234</v>
      </c>
      <c r="E61" s="146" t="s">
        <v>244</v>
      </c>
      <c r="F61" s="264">
        <v>0.8139042854309082</v>
      </c>
      <c r="G61" s="264">
        <v>0.91128534078598022</v>
      </c>
      <c r="H61" s="264">
        <v>0.8625948429107666</v>
      </c>
      <c r="I61" s="264">
        <v>0.8139042854309082</v>
      </c>
      <c r="J61"/>
    </row>
    <row r="62" spans="1:10" ht="15" customHeight="1" x14ac:dyDescent="0.3">
      <c r="A62" s="5">
        <v>3</v>
      </c>
      <c r="B62" s="7" t="s">
        <v>52</v>
      </c>
      <c r="C62" s="145">
        <v>0.91491842269897461</v>
      </c>
      <c r="D62" s="145">
        <v>8.5081584751605988E-2</v>
      </c>
      <c r="E62" s="146" t="s">
        <v>244</v>
      </c>
      <c r="F62" s="264">
        <v>1.2558466196060181</v>
      </c>
      <c r="G62" s="264">
        <v>0.95646023750305176</v>
      </c>
      <c r="H62" s="264">
        <v>1.1061534881591797</v>
      </c>
      <c r="I62" s="264">
        <v>1.2558466196060181</v>
      </c>
      <c r="J62"/>
    </row>
    <row r="63" spans="1:10" ht="15" customHeight="1" x14ac:dyDescent="0.3">
      <c r="A63" s="5">
        <v>2</v>
      </c>
      <c r="B63" s="7" t="s">
        <v>39</v>
      </c>
      <c r="C63" s="145">
        <v>0.49023881554603577</v>
      </c>
      <c r="D63" s="145">
        <v>0.50976115465164185</v>
      </c>
      <c r="E63" s="146" t="s">
        <v>245</v>
      </c>
      <c r="F63" s="264">
        <v>1.1210311651229858</v>
      </c>
      <c r="G63" s="264">
        <v>1.4883348941802979</v>
      </c>
      <c r="H63" s="264">
        <v>1.3046829700469971</v>
      </c>
      <c r="I63" s="264">
        <v>1.3046829700469971</v>
      </c>
      <c r="J63"/>
    </row>
    <row r="64" spans="1:10" ht="15" customHeight="1" x14ac:dyDescent="0.3">
      <c r="A64" s="5">
        <v>2</v>
      </c>
      <c r="B64" s="6" t="s">
        <v>40</v>
      </c>
      <c r="C64" s="145">
        <v>0.48237395286560097</v>
      </c>
      <c r="D64" s="145">
        <v>0.51762604713439897</v>
      </c>
      <c r="E64" s="146" t="s">
        <v>245</v>
      </c>
      <c r="F64" s="264">
        <v>0.96201610565185547</v>
      </c>
      <c r="G64" s="264">
        <v>1.4669160842895508</v>
      </c>
      <c r="H64" s="264">
        <v>1.2144660949707031</v>
      </c>
      <c r="I64" s="264">
        <v>1.2144660949707031</v>
      </c>
      <c r="J64"/>
    </row>
    <row r="65" spans="2:9" x14ac:dyDescent="0.3">
      <c r="E65" s="149"/>
      <c r="I65" s="150"/>
    </row>
    <row r="66" spans="2:9" x14ac:dyDescent="0.3">
      <c r="B66" s="151" t="s">
        <v>229</v>
      </c>
      <c r="C66" s="238"/>
    </row>
    <row r="67" spans="2:9" x14ac:dyDescent="0.3">
      <c r="B67" s="269"/>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E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68"/>
  <sheetViews>
    <sheetView zoomScaleNormal="100" zoomScaleSheetLayoutView="100" workbookViewId="0">
      <pane xSplit="1" ySplit="6" topLeftCell="B20" activePane="bottomRight" state="frozen"/>
      <selection pane="topRight" activeCell="B1" sqref="B1"/>
      <selection pane="bottomLeft" activeCell="A7" sqref="A7"/>
      <selection pane="bottomRight" activeCell="K48" sqref="K48"/>
    </sheetView>
  </sheetViews>
  <sheetFormatPr defaultColWidth="9.21875" defaultRowHeight="14.4" x14ac:dyDescent="0.3"/>
  <cols>
    <col min="1" max="1" width="15.77734375" style="101" customWidth="1"/>
    <col min="2" max="2" width="1.77734375" style="53" customWidth="1"/>
    <col min="3" max="3" width="11.21875" style="101" customWidth="1"/>
    <col min="4" max="4" width="9.77734375" style="101" customWidth="1"/>
    <col min="5" max="5" width="9.21875" style="101" bestFit="1" customWidth="1"/>
    <col min="6" max="6" width="8.6640625" style="101" bestFit="1" customWidth="1"/>
    <col min="7" max="7" width="10.21875" style="101" customWidth="1"/>
    <col min="8" max="8" width="9.21875" style="101" customWidth="1"/>
    <col min="9" max="9" width="10.77734375" style="101" bestFit="1" customWidth="1"/>
    <col min="10" max="10" width="11.77734375" style="101" customWidth="1"/>
    <col min="11" max="11" width="11.21875" style="101" customWidth="1"/>
    <col min="12" max="12" width="12.77734375" style="101" customWidth="1"/>
    <col min="13" max="13" width="12.5546875" style="105" customWidth="1"/>
    <col min="14" max="14" width="1.77734375" style="53" customWidth="1"/>
    <col min="15" max="16" width="12.77734375" style="101" customWidth="1"/>
    <col min="17" max="17" width="12.77734375" style="105" customWidth="1"/>
    <col min="18" max="18" width="1.77734375" style="53" customWidth="1"/>
    <col min="19" max="19" width="12.77734375" style="105" customWidth="1"/>
    <col min="20" max="20" width="16.44140625" style="101" customWidth="1"/>
    <col min="21" max="16384" width="9.21875" style="102"/>
  </cols>
  <sheetData>
    <row r="1" spans="1:20" ht="20.100000000000001" customHeight="1" x14ac:dyDescent="0.3">
      <c r="A1" s="48" t="s">
        <v>230</v>
      </c>
      <c r="B1" s="100"/>
      <c r="T1" s="102"/>
    </row>
    <row r="2" spans="1:20" ht="20.100000000000001" customHeight="1" x14ac:dyDescent="0.3">
      <c r="A2" s="49" t="s">
        <v>248</v>
      </c>
      <c r="B2" s="51"/>
      <c r="F2" s="103"/>
      <c r="G2" s="103"/>
      <c r="H2" s="103"/>
      <c r="I2" s="103"/>
      <c r="J2" s="103"/>
      <c r="K2" s="103"/>
      <c r="L2" s="103"/>
      <c r="M2" s="103"/>
      <c r="N2" s="51"/>
      <c r="O2" s="103"/>
      <c r="P2" s="103"/>
      <c r="Q2" s="103"/>
      <c r="R2" s="51"/>
      <c r="S2" s="103"/>
      <c r="T2" s="102"/>
    </row>
    <row r="3" spans="1:20" ht="20.100000000000001" customHeight="1" x14ac:dyDescent="0.3">
      <c r="A3" s="104"/>
      <c r="B3" s="51"/>
      <c r="N3" s="51"/>
      <c r="R3" s="51"/>
    </row>
    <row r="4" spans="1:20" ht="20.100000000000001" customHeight="1" x14ac:dyDescent="0.3">
      <c r="A4" s="76"/>
      <c r="B4" s="81"/>
      <c r="C4" s="292" t="s">
        <v>87</v>
      </c>
      <c r="D4" s="292"/>
      <c r="E4" s="292"/>
      <c r="F4" s="292"/>
      <c r="G4" s="292"/>
      <c r="H4" s="292"/>
      <c r="I4" s="292"/>
      <c r="J4" s="292"/>
      <c r="K4" s="292"/>
      <c r="L4" s="292"/>
      <c r="M4" s="292"/>
      <c r="N4" s="81"/>
      <c r="O4" s="290" t="s">
        <v>88</v>
      </c>
      <c r="P4" s="291"/>
      <c r="Q4" s="291"/>
      <c r="R4" s="81"/>
      <c r="S4" s="106"/>
      <c r="T4" s="107"/>
    </row>
    <row r="5" spans="1:20" s="109" customFormat="1" ht="69" x14ac:dyDescent="0.3">
      <c r="A5" s="293"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217</v>
      </c>
      <c r="T5" s="108"/>
    </row>
    <row r="6" spans="1:20" s="109" customFormat="1" x14ac:dyDescent="0.3">
      <c r="A6" s="293"/>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00000000000001" customHeight="1" x14ac:dyDescent="0.3">
      <c r="A7" s="114" t="s">
        <v>53</v>
      </c>
      <c r="B7" s="81"/>
      <c r="C7" s="116">
        <v>29.08695416878065</v>
      </c>
      <c r="D7" s="116">
        <v>98.386124873249216</v>
      </c>
      <c r="E7" s="116">
        <v>125.16948309816034</v>
      </c>
      <c r="F7" s="116">
        <v>72.362883364405093</v>
      </c>
      <c r="G7" s="116">
        <v>44.373912321209964</v>
      </c>
      <c r="H7" s="116">
        <v>13.75708039271011</v>
      </c>
      <c r="I7" s="117">
        <f>SUM(C7:H7)</f>
        <v>383.13643821851537</v>
      </c>
      <c r="J7" s="116">
        <v>29</v>
      </c>
      <c r="K7" s="116">
        <v>9.6000000000000014</v>
      </c>
      <c r="L7" s="116">
        <f>(I7+J7)/K7</f>
        <v>42.930878981095347</v>
      </c>
      <c r="M7" s="118">
        <f>ROUNDUP(I7+L7,0)</f>
        <v>427</v>
      </c>
      <c r="N7" s="81"/>
      <c r="O7" s="116">
        <v>70.25</v>
      </c>
      <c r="P7" s="116">
        <v>6.3000000000000007</v>
      </c>
      <c r="Q7" s="122">
        <f>ROUNDUP((M7+O7)/P7,0)</f>
        <v>79</v>
      </c>
      <c r="R7" s="81"/>
      <c r="S7" s="124">
        <f>SUM(M7,Q7)</f>
        <v>506</v>
      </c>
    </row>
    <row r="8" spans="1:20" ht="20.100000000000001" customHeight="1" x14ac:dyDescent="0.3">
      <c r="A8" s="114" t="s">
        <v>4</v>
      </c>
      <c r="C8" s="116">
        <v>0.53391510231692885</v>
      </c>
      <c r="D8" s="116">
        <v>0.35153231699243326</v>
      </c>
      <c r="E8" s="116">
        <v>8.6468435988011613E-2</v>
      </c>
      <c r="F8" s="116">
        <v>4.1843268520742702E-2</v>
      </c>
      <c r="G8" s="116">
        <v>8.8111703891624926E-2</v>
      </c>
      <c r="H8" s="116">
        <v>7.3937424326077056E-2</v>
      </c>
      <c r="I8" s="117">
        <f t="shared" ref="I8:I64" si="0">SUM(C8:H8)</f>
        <v>1.1758082520358182</v>
      </c>
      <c r="J8" s="116">
        <v>0</v>
      </c>
      <c r="K8" s="116">
        <v>6.6000000000000005</v>
      </c>
      <c r="L8" s="116">
        <f t="shared" ref="L8:L64" si="1">(I8+J8)/K8</f>
        <v>0.17815276545997244</v>
      </c>
      <c r="M8" s="118">
        <f t="shared" ref="M8:M64" si="2">ROUNDUP(I8+L8,0)</f>
        <v>2</v>
      </c>
      <c r="O8" s="116">
        <v>1.25</v>
      </c>
      <c r="P8" s="116">
        <v>3.5</v>
      </c>
      <c r="Q8" s="122">
        <f t="shared" ref="Q8:Q64" si="3">ROUNDUP((M8+O8)/P8,0)</f>
        <v>1</v>
      </c>
      <c r="S8" s="124">
        <f t="shared" ref="S8:S64" si="4">SUM(M8,Q8)</f>
        <v>3</v>
      </c>
    </row>
    <row r="9" spans="1:20" ht="20.100000000000001" customHeight="1" x14ac:dyDescent="0.3">
      <c r="A9" s="114" t="s">
        <v>5</v>
      </c>
      <c r="C9" s="116">
        <v>1.40033823778116</v>
      </c>
      <c r="D9" s="116">
        <v>8.8556592788141657</v>
      </c>
      <c r="E9" s="116">
        <v>2.6533242552987657</v>
      </c>
      <c r="F9" s="116">
        <v>3.2474011873045221</v>
      </c>
      <c r="G9" s="116">
        <v>2.3078059646673088</v>
      </c>
      <c r="H9" s="116">
        <v>0.73324853874328433</v>
      </c>
      <c r="I9" s="117">
        <f t="shared" si="0"/>
        <v>19.19777746260921</v>
      </c>
      <c r="J9" s="116">
        <v>0</v>
      </c>
      <c r="K9" s="116">
        <v>6.6000000000000005</v>
      </c>
      <c r="L9" s="116">
        <f t="shared" si="1"/>
        <v>2.9087541610013954</v>
      </c>
      <c r="M9" s="118">
        <f t="shared" si="2"/>
        <v>23</v>
      </c>
      <c r="O9" s="116">
        <v>3.3899999999999997</v>
      </c>
      <c r="P9" s="116">
        <v>3.5</v>
      </c>
      <c r="Q9" s="122">
        <f t="shared" si="3"/>
        <v>8</v>
      </c>
      <c r="S9" s="124">
        <f t="shared" si="4"/>
        <v>31</v>
      </c>
    </row>
    <row r="10" spans="1:20" ht="20.100000000000001" customHeight="1" x14ac:dyDescent="0.3">
      <c r="A10" s="114" t="s">
        <v>19</v>
      </c>
      <c r="C10" s="116">
        <v>5.1320886182986634</v>
      </c>
      <c r="D10" s="116">
        <v>32.490835267975307</v>
      </c>
      <c r="E10" s="116">
        <v>15.326371597336488</v>
      </c>
      <c r="F10" s="116">
        <v>15.530468815277519</v>
      </c>
      <c r="G10" s="116">
        <v>13.626529862102712</v>
      </c>
      <c r="H10" s="116">
        <v>4.2846506972450422</v>
      </c>
      <c r="I10" s="117">
        <f t="shared" si="0"/>
        <v>86.390944858235727</v>
      </c>
      <c r="J10" s="116">
        <v>0.7</v>
      </c>
      <c r="K10" s="116">
        <v>7.8000000000000007</v>
      </c>
      <c r="L10" s="116">
        <f t="shared" si="1"/>
        <v>11.165505751055862</v>
      </c>
      <c r="M10" s="118">
        <f t="shared" si="2"/>
        <v>98</v>
      </c>
      <c r="O10" s="116">
        <v>9.6999999999999993</v>
      </c>
      <c r="P10" s="116">
        <v>5.1000000000000005</v>
      </c>
      <c r="Q10" s="122">
        <f t="shared" si="3"/>
        <v>22</v>
      </c>
      <c r="S10" s="124">
        <f t="shared" si="4"/>
        <v>120</v>
      </c>
    </row>
    <row r="11" spans="1:20" ht="20.100000000000001" customHeight="1" x14ac:dyDescent="0.3">
      <c r="A11" s="114" t="s">
        <v>6</v>
      </c>
      <c r="B11" s="83"/>
      <c r="C11" s="116">
        <v>0.91115169964485032</v>
      </c>
      <c r="D11" s="116">
        <v>5.3722428791771559</v>
      </c>
      <c r="E11" s="116">
        <v>2.7282640201201778</v>
      </c>
      <c r="F11" s="116">
        <v>3.6977798514599862</v>
      </c>
      <c r="G11" s="116">
        <v>2.5580530207536509</v>
      </c>
      <c r="H11" s="116">
        <v>1.3722811442465925</v>
      </c>
      <c r="I11" s="117">
        <f t="shared" si="0"/>
        <v>16.639772615402414</v>
      </c>
      <c r="J11" s="116">
        <v>0.25</v>
      </c>
      <c r="K11" s="116">
        <v>6.6000000000000005</v>
      </c>
      <c r="L11" s="116">
        <f t="shared" si="1"/>
        <v>2.5590564568791536</v>
      </c>
      <c r="M11" s="118">
        <f t="shared" si="2"/>
        <v>20</v>
      </c>
      <c r="N11" s="83"/>
      <c r="O11" s="116">
        <v>3.05</v>
      </c>
      <c r="P11" s="116">
        <v>3.5</v>
      </c>
      <c r="Q11" s="122">
        <f t="shared" si="3"/>
        <v>7</v>
      </c>
      <c r="R11" s="83"/>
      <c r="S11" s="124">
        <f t="shared" si="4"/>
        <v>27</v>
      </c>
    </row>
    <row r="12" spans="1:20" ht="20.100000000000001" customHeight="1" x14ac:dyDescent="0.3">
      <c r="A12" s="114" t="s">
        <v>7</v>
      </c>
      <c r="C12" s="116">
        <v>1.9764112971418908</v>
      </c>
      <c r="D12" s="116">
        <v>5.3374974129324171</v>
      </c>
      <c r="E12" s="116">
        <v>0.91300319699539512</v>
      </c>
      <c r="F12" s="116">
        <v>1.5765195882445022</v>
      </c>
      <c r="G12" s="116">
        <v>0.86381923523766024</v>
      </c>
      <c r="H12" s="116">
        <v>0.49111605169776684</v>
      </c>
      <c r="I12" s="117">
        <f t="shared" si="0"/>
        <v>11.158366782249633</v>
      </c>
      <c r="J12" s="116">
        <v>0</v>
      </c>
      <c r="K12" s="116">
        <v>6.6000000000000005</v>
      </c>
      <c r="L12" s="116">
        <f t="shared" si="1"/>
        <v>1.6906616336741866</v>
      </c>
      <c r="M12" s="118">
        <f t="shared" si="2"/>
        <v>13</v>
      </c>
      <c r="O12" s="116">
        <v>1.0999999999999999</v>
      </c>
      <c r="P12" s="116">
        <v>3.5</v>
      </c>
      <c r="Q12" s="122">
        <f>ROUNDUP((M12+O12)/P12,0)</f>
        <v>5</v>
      </c>
      <c r="S12" s="124">
        <f t="shared" si="4"/>
        <v>18</v>
      </c>
    </row>
    <row r="13" spans="1:20" ht="20.100000000000001" customHeight="1" x14ac:dyDescent="0.3">
      <c r="A13" s="114" t="s">
        <v>41</v>
      </c>
      <c r="C13" s="116">
        <v>12.780835447319467</v>
      </c>
      <c r="D13" s="116">
        <v>57.246699911009813</v>
      </c>
      <c r="E13" s="116">
        <v>71.058988454304796</v>
      </c>
      <c r="F13" s="116">
        <v>58.846137566834194</v>
      </c>
      <c r="G13" s="116">
        <v>39.853036540925117</v>
      </c>
      <c r="H13" s="116">
        <v>12.473505520519822</v>
      </c>
      <c r="I13" s="117">
        <f t="shared" si="0"/>
        <v>252.25920344091321</v>
      </c>
      <c r="J13" s="116">
        <v>8.1999999999999993</v>
      </c>
      <c r="K13" s="116">
        <v>8.4</v>
      </c>
      <c r="L13" s="116">
        <f t="shared" si="1"/>
        <v>31.007048028680142</v>
      </c>
      <c r="M13" s="118">
        <f t="shared" si="2"/>
        <v>284</v>
      </c>
      <c r="O13" s="116">
        <v>14.339999999999998</v>
      </c>
      <c r="P13" s="116">
        <v>6.3000000000000007</v>
      </c>
      <c r="Q13" s="122">
        <f t="shared" si="3"/>
        <v>48</v>
      </c>
      <c r="S13" s="124">
        <f t="shared" si="4"/>
        <v>332</v>
      </c>
    </row>
    <row r="14" spans="1:20" ht="20.100000000000001" customHeight="1" x14ac:dyDescent="0.3">
      <c r="A14" s="114" t="s">
        <v>8</v>
      </c>
      <c r="C14" s="116">
        <v>1.3139658379841028</v>
      </c>
      <c r="D14" s="116">
        <v>7.6298832775527154</v>
      </c>
      <c r="E14" s="116">
        <v>1.7150415281323192</v>
      </c>
      <c r="F14" s="116">
        <v>3.0075306417751833</v>
      </c>
      <c r="G14" s="116">
        <v>1.5002717009473119</v>
      </c>
      <c r="H14" s="116">
        <v>1.5587556742813389</v>
      </c>
      <c r="I14" s="117">
        <f t="shared" si="0"/>
        <v>16.725448660672971</v>
      </c>
      <c r="J14" s="116">
        <v>0</v>
      </c>
      <c r="K14" s="116">
        <v>6.6000000000000005</v>
      </c>
      <c r="L14" s="116">
        <f t="shared" si="1"/>
        <v>2.5341588879807531</v>
      </c>
      <c r="M14" s="118">
        <f t="shared" si="2"/>
        <v>20</v>
      </c>
      <c r="O14" s="116">
        <v>3</v>
      </c>
      <c r="P14" s="116">
        <v>3.5</v>
      </c>
      <c r="Q14" s="122">
        <f t="shared" si="3"/>
        <v>7</v>
      </c>
      <c r="S14" s="124">
        <f t="shared" si="4"/>
        <v>27</v>
      </c>
    </row>
    <row r="15" spans="1:20" ht="20.100000000000001" customHeight="1" x14ac:dyDescent="0.3">
      <c r="A15" s="114" t="s">
        <v>20</v>
      </c>
      <c r="C15" s="116">
        <v>4.5582005750042285</v>
      </c>
      <c r="D15" s="116">
        <v>15.414619075379537</v>
      </c>
      <c r="E15" s="116">
        <v>11.678358668229912</v>
      </c>
      <c r="F15" s="116">
        <v>11.243964814423164</v>
      </c>
      <c r="G15" s="116">
        <v>6.6792398177951435</v>
      </c>
      <c r="H15" s="116">
        <v>2.5480780368661309</v>
      </c>
      <c r="I15" s="117">
        <f t="shared" si="0"/>
        <v>52.122460987698112</v>
      </c>
      <c r="J15" s="116">
        <v>0</v>
      </c>
      <c r="K15" s="116">
        <v>7.8000000000000007</v>
      </c>
      <c r="L15" s="116">
        <f t="shared" si="1"/>
        <v>6.6823667932946291</v>
      </c>
      <c r="M15" s="118">
        <f t="shared" si="2"/>
        <v>59</v>
      </c>
      <c r="O15" s="116">
        <v>2.54</v>
      </c>
      <c r="P15" s="116">
        <v>5.1000000000000005</v>
      </c>
      <c r="Q15" s="122">
        <f t="shared" si="3"/>
        <v>13</v>
      </c>
      <c r="S15" s="124">
        <f t="shared" si="4"/>
        <v>72</v>
      </c>
    </row>
    <row r="16" spans="1:20" ht="20.100000000000001" customHeight="1" x14ac:dyDescent="0.3">
      <c r="A16" s="114" t="s">
        <v>42</v>
      </c>
      <c r="C16" s="116">
        <v>14.354953492305089</v>
      </c>
      <c r="D16" s="116">
        <v>155.47557338863948</v>
      </c>
      <c r="E16" s="116">
        <v>59.356349135282983</v>
      </c>
      <c r="F16" s="116">
        <v>74.713902392169672</v>
      </c>
      <c r="G16" s="116">
        <v>31.654557351925927</v>
      </c>
      <c r="H16" s="116">
        <v>23.570909520650339</v>
      </c>
      <c r="I16" s="117">
        <f t="shared" si="0"/>
        <v>359.12624528097348</v>
      </c>
      <c r="J16" s="116">
        <v>6.6000000000000005</v>
      </c>
      <c r="K16" s="116">
        <v>8.4</v>
      </c>
      <c r="L16" s="116">
        <f t="shared" si="1"/>
        <v>43.538838723925416</v>
      </c>
      <c r="M16" s="118">
        <f t="shared" si="2"/>
        <v>403</v>
      </c>
      <c r="O16" s="116">
        <v>17.75</v>
      </c>
      <c r="P16" s="116">
        <v>6.3000000000000007</v>
      </c>
      <c r="Q16" s="122">
        <f t="shared" si="3"/>
        <v>67</v>
      </c>
      <c r="S16" s="124">
        <f t="shared" si="4"/>
        <v>470</v>
      </c>
    </row>
    <row r="17" spans="1:19" ht="20.100000000000001" customHeight="1" x14ac:dyDescent="0.3">
      <c r="A17" s="114" t="s">
        <v>9</v>
      </c>
      <c r="B17" s="83"/>
      <c r="C17" s="116">
        <v>1.4300287502113984</v>
      </c>
      <c r="D17" s="116">
        <v>5.7113218640002197</v>
      </c>
      <c r="E17" s="116">
        <v>1.4638583176607514</v>
      </c>
      <c r="F17" s="116">
        <v>2.500857025114021</v>
      </c>
      <c r="G17" s="116">
        <v>1.5558259546932831</v>
      </c>
      <c r="H17" s="116">
        <v>0.67727751268666447</v>
      </c>
      <c r="I17" s="117">
        <f t="shared" si="0"/>
        <v>13.339169424366338</v>
      </c>
      <c r="J17" s="116">
        <v>0</v>
      </c>
      <c r="K17" s="116">
        <v>6.6000000000000005</v>
      </c>
      <c r="L17" s="116">
        <f t="shared" si="1"/>
        <v>2.0210862764191417</v>
      </c>
      <c r="M17" s="118">
        <f t="shared" si="2"/>
        <v>16</v>
      </c>
      <c r="N17" s="83"/>
      <c r="O17" s="116">
        <v>4.8999999999999995</v>
      </c>
      <c r="P17" s="116">
        <v>3.5</v>
      </c>
      <c r="Q17" s="122">
        <f t="shared" si="3"/>
        <v>6</v>
      </c>
      <c r="R17" s="83"/>
      <c r="S17" s="124">
        <f t="shared" si="4"/>
        <v>22</v>
      </c>
    </row>
    <row r="18" spans="1:19" ht="20.100000000000001" customHeight="1" x14ac:dyDescent="0.3">
      <c r="A18" s="114" t="s">
        <v>21</v>
      </c>
      <c r="C18" s="116">
        <v>3.2275257906308137</v>
      </c>
      <c r="D18" s="116">
        <v>23.521375801467702</v>
      </c>
      <c r="E18" s="116">
        <v>9.1884302881253195</v>
      </c>
      <c r="F18" s="116">
        <v>11.458369353766191</v>
      </c>
      <c r="G18" s="116">
        <v>8.2146385679019414</v>
      </c>
      <c r="H18" s="116">
        <v>4.0888209920270819</v>
      </c>
      <c r="I18" s="117">
        <f t="shared" si="0"/>
        <v>59.699160793919049</v>
      </c>
      <c r="J18" s="116">
        <v>0</v>
      </c>
      <c r="K18" s="116">
        <v>7.8000000000000007</v>
      </c>
      <c r="L18" s="116">
        <f t="shared" si="1"/>
        <v>7.6537385633229542</v>
      </c>
      <c r="M18" s="118">
        <f t="shared" si="2"/>
        <v>68</v>
      </c>
      <c r="O18" s="116">
        <v>2.4</v>
      </c>
      <c r="P18" s="116">
        <v>5.1000000000000005</v>
      </c>
      <c r="Q18" s="122">
        <f t="shared" si="3"/>
        <v>14</v>
      </c>
      <c r="S18" s="124">
        <f t="shared" si="4"/>
        <v>82</v>
      </c>
    </row>
    <row r="19" spans="1:19" ht="20.100000000000001" customHeight="1" x14ac:dyDescent="0.3">
      <c r="A19" s="114" t="s">
        <v>22</v>
      </c>
      <c r="C19" s="116">
        <v>11.295504819888382</v>
      </c>
      <c r="D19" s="116">
        <v>22.072531269533915</v>
      </c>
      <c r="E19" s="116">
        <v>8.632643502517066</v>
      </c>
      <c r="F19" s="116">
        <v>14.022400951421481</v>
      </c>
      <c r="G19" s="116">
        <v>5.7285394747737453</v>
      </c>
      <c r="H19" s="116">
        <v>3.6033633676281682</v>
      </c>
      <c r="I19" s="117">
        <f t="shared" si="0"/>
        <v>65.35498338576275</v>
      </c>
      <c r="J19" s="116">
        <v>1.0000000000000004</v>
      </c>
      <c r="K19" s="116">
        <v>7.8000000000000007</v>
      </c>
      <c r="L19" s="116">
        <f t="shared" si="1"/>
        <v>8.5070491520208655</v>
      </c>
      <c r="M19" s="118">
        <f t="shared" si="2"/>
        <v>74</v>
      </c>
      <c r="O19" s="116">
        <v>10.649999999999999</v>
      </c>
      <c r="P19" s="116">
        <v>5.1000000000000005</v>
      </c>
      <c r="Q19" s="122">
        <f t="shared" si="3"/>
        <v>17</v>
      </c>
      <c r="S19" s="124">
        <f t="shared" si="4"/>
        <v>91</v>
      </c>
    </row>
    <row r="20" spans="1:19" ht="20.100000000000001" customHeight="1" x14ac:dyDescent="0.3">
      <c r="A20" s="114" t="s">
        <v>10</v>
      </c>
      <c r="C20" s="116">
        <v>3.2842076779976326</v>
      </c>
      <c r="D20" s="116">
        <v>5.3229592390395499</v>
      </c>
      <c r="E20" s="116">
        <v>0.90326736899180682</v>
      </c>
      <c r="F20" s="116">
        <v>1.6294037498859066</v>
      </c>
      <c r="G20" s="116">
        <v>0.98779487213622319</v>
      </c>
      <c r="H20" s="116">
        <v>0.54345726431076369</v>
      </c>
      <c r="I20" s="117">
        <f t="shared" si="0"/>
        <v>12.671090172361884</v>
      </c>
      <c r="J20" s="116">
        <v>0.5</v>
      </c>
      <c r="K20" s="116">
        <v>6.6000000000000005</v>
      </c>
      <c r="L20" s="116">
        <f t="shared" si="1"/>
        <v>1.9956197230851338</v>
      </c>
      <c r="M20" s="118">
        <f t="shared" si="2"/>
        <v>15</v>
      </c>
      <c r="O20" s="116">
        <v>4.1100000000000003</v>
      </c>
      <c r="P20" s="116">
        <v>3.5</v>
      </c>
      <c r="Q20" s="122">
        <f t="shared" si="3"/>
        <v>6</v>
      </c>
      <c r="S20" s="124">
        <f t="shared" si="4"/>
        <v>21</v>
      </c>
    </row>
    <row r="21" spans="1:19" ht="20.100000000000001" customHeight="1" x14ac:dyDescent="0.3">
      <c r="A21" s="114" t="s">
        <v>43</v>
      </c>
      <c r="C21" s="116">
        <v>17.064677828513446</v>
      </c>
      <c r="D21" s="116">
        <v>170.84041491546063</v>
      </c>
      <c r="E21" s="116">
        <v>52.811449707187521</v>
      </c>
      <c r="F21" s="116">
        <v>72.845736974664248</v>
      </c>
      <c r="G21" s="116">
        <v>33.612669374723033</v>
      </c>
      <c r="H21" s="116">
        <v>19.370490937532153</v>
      </c>
      <c r="I21" s="117">
        <f t="shared" si="0"/>
        <v>366.54543973808109</v>
      </c>
      <c r="J21" s="116">
        <v>16</v>
      </c>
      <c r="K21" s="116">
        <v>8.4</v>
      </c>
      <c r="L21" s="116">
        <f t="shared" si="1"/>
        <v>45.541123778342985</v>
      </c>
      <c r="M21" s="118">
        <f t="shared" si="2"/>
        <v>413</v>
      </c>
      <c r="O21" s="116">
        <v>53</v>
      </c>
      <c r="P21" s="116">
        <v>6.3000000000000007</v>
      </c>
      <c r="Q21" s="122">
        <f t="shared" si="3"/>
        <v>74</v>
      </c>
      <c r="S21" s="124">
        <f t="shared" si="4"/>
        <v>487</v>
      </c>
    </row>
    <row r="22" spans="1:19" ht="20.100000000000001" customHeight="1" x14ac:dyDescent="0.3">
      <c r="A22" s="114" t="s">
        <v>23</v>
      </c>
      <c r="C22" s="116">
        <v>4.4322408253001857</v>
      </c>
      <c r="D22" s="116">
        <v>40.277719638206705</v>
      </c>
      <c r="E22" s="116">
        <v>7.932479317622934</v>
      </c>
      <c r="F22" s="116">
        <v>14.817114277114811</v>
      </c>
      <c r="G22" s="116">
        <v>5.9185921358570273</v>
      </c>
      <c r="H22" s="116">
        <v>4.7648600198098414</v>
      </c>
      <c r="I22" s="117">
        <f t="shared" si="0"/>
        <v>78.143006213911505</v>
      </c>
      <c r="J22" s="116">
        <v>1.6</v>
      </c>
      <c r="K22" s="116">
        <v>7.8000000000000007</v>
      </c>
      <c r="L22" s="116">
        <f t="shared" si="1"/>
        <v>10.223462335116858</v>
      </c>
      <c r="M22" s="118">
        <f t="shared" si="2"/>
        <v>89</v>
      </c>
      <c r="O22" s="116">
        <v>5.6</v>
      </c>
      <c r="P22" s="116">
        <v>5.1000000000000005</v>
      </c>
      <c r="Q22" s="122">
        <f t="shared" si="3"/>
        <v>19</v>
      </c>
      <c r="S22" s="124">
        <f t="shared" si="4"/>
        <v>108</v>
      </c>
    </row>
    <row r="23" spans="1:19" ht="20.100000000000001" customHeight="1" x14ac:dyDescent="0.3">
      <c r="A23" s="114" t="s">
        <v>24</v>
      </c>
      <c r="C23" s="116">
        <v>1.5323389142567225</v>
      </c>
      <c r="D23" s="116">
        <v>19.299292060400191</v>
      </c>
      <c r="E23" s="116">
        <v>6.5823404830232155</v>
      </c>
      <c r="F23" s="116">
        <v>7.4175862671247135</v>
      </c>
      <c r="G23" s="116">
        <v>5.692795093764353</v>
      </c>
      <c r="H23" s="116">
        <v>0.95868894108334057</v>
      </c>
      <c r="I23" s="117">
        <f t="shared" si="0"/>
        <v>41.483041759652536</v>
      </c>
      <c r="J23" s="116">
        <v>0.25</v>
      </c>
      <c r="K23" s="116">
        <v>7.8000000000000007</v>
      </c>
      <c r="L23" s="116">
        <f t="shared" si="1"/>
        <v>5.3503899691862218</v>
      </c>
      <c r="M23" s="118">
        <f t="shared" si="2"/>
        <v>47</v>
      </c>
      <c r="O23" s="116">
        <v>1.9500000000000002</v>
      </c>
      <c r="P23" s="116">
        <v>5.1000000000000005</v>
      </c>
      <c r="Q23" s="122">
        <f t="shared" si="3"/>
        <v>10</v>
      </c>
      <c r="S23" s="124">
        <f t="shared" si="4"/>
        <v>57</v>
      </c>
    </row>
    <row r="24" spans="1:19" ht="20.100000000000001" customHeight="1" x14ac:dyDescent="0.3">
      <c r="A24" s="114" t="s">
        <v>11</v>
      </c>
      <c r="C24" s="116">
        <v>1.6631828175207171</v>
      </c>
      <c r="D24" s="116">
        <v>5.7829375700066681</v>
      </c>
      <c r="E24" s="116">
        <v>1.2851423518051777</v>
      </c>
      <c r="F24" s="116">
        <v>2.5767193565429585</v>
      </c>
      <c r="G24" s="116">
        <v>1.1767318890335372</v>
      </c>
      <c r="H24" s="116">
        <v>0.84468708301117712</v>
      </c>
      <c r="I24" s="117">
        <f t="shared" si="0"/>
        <v>13.329401067920234</v>
      </c>
      <c r="J24" s="116">
        <v>0</v>
      </c>
      <c r="K24" s="116">
        <v>6.6000000000000005</v>
      </c>
      <c r="L24" s="116">
        <f t="shared" si="1"/>
        <v>2.0196062224121563</v>
      </c>
      <c r="M24" s="118">
        <f t="shared" si="2"/>
        <v>16</v>
      </c>
      <c r="O24" s="116">
        <v>2.75</v>
      </c>
      <c r="P24" s="116">
        <v>3.5</v>
      </c>
      <c r="Q24" s="122">
        <f t="shared" si="3"/>
        <v>6</v>
      </c>
      <c r="S24" s="124">
        <f t="shared" si="4"/>
        <v>22</v>
      </c>
    </row>
    <row r="25" spans="1:19" ht="20.100000000000001" customHeight="1" x14ac:dyDescent="0.3">
      <c r="A25" s="114" t="s">
        <v>54</v>
      </c>
      <c r="C25" s="116">
        <v>158.12467444613563</v>
      </c>
      <c r="D25" s="116">
        <v>729.75771746185933</v>
      </c>
      <c r="E25" s="116">
        <v>1021.2320753846019</v>
      </c>
      <c r="F25" s="116">
        <v>670.25603430195906</v>
      </c>
      <c r="G25" s="116">
        <v>397.23032806186495</v>
      </c>
      <c r="H25" s="116">
        <v>247.59865536340578</v>
      </c>
      <c r="I25" s="117">
        <f t="shared" si="0"/>
        <v>3224.1994850198266</v>
      </c>
      <c r="J25" s="116">
        <v>214</v>
      </c>
      <c r="K25" s="116">
        <v>9.6000000000000014</v>
      </c>
      <c r="L25" s="116">
        <f t="shared" si="1"/>
        <v>358.14577968956525</v>
      </c>
      <c r="M25" s="118">
        <f t="shared" si="2"/>
        <v>3583</v>
      </c>
      <c r="O25" s="116">
        <v>440</v>
      </c>
      <c r="P25" s="116">
        <v>6.3000000000000007</v>
      </c>
      <c r="Q25" s="122">
        <f t="shared" si="3"/>
        <v>639</v>
      </c>
      <c r="S25" s="124">
        <f t="shared" si="4"/>
        <v>4222</v>
      </c>
    </row>
    <row r="26" spans="1:19" ht="20.100000000000001" customHeight="1" x14ac:dyDescent="0.3">
      <c r="A26" s="114" t="s">
        <v>25</v>
      </c>
      <c r="C26" s="116">
        <v>4.1801927955352616</v>
      </c>
      <c r="D26" s="116">
        <v>34.675615644801717</v>
      </c>
      <c r="E26" s="116">
        <v>10.515998447848272</v>
      </c>
      <c r="F26" s="116">
        <v>17.900949342772982</v>
      </c>
      <c r="G26" s="116">
        <v>5.7047431871291705</v>
      </c>
      <c r="H26" s="116">
        <v>6.0573559693045853</v>
      </c>
      <c r="I26" s="117">
        <f t="shared" si="0"/>
        <v>79.034855387391985</v>
      </c>
      <c r="J26" s="116">
        <v>4</v>
      </c>
      <c r="K26" s="116">
        <v>7.8000000000000007</v>
      </c>
      <c r="L26" s="116">
        <f t="shared" si="1"/>
        <v>10.645494280434869</v>
      </c>
      <c r="M26" s="118">
        <f t="shared" si="2"/>
        <v>90</v>
      </c>
      <c r="O26" s="116">
        <v>6.86</v>
      </c>
      <c r="P26" s="116">
        <v>5.1000000000000005</v>
      </c>
      <c r="Q26" s="122">
        <f t="shared" si="3"/>
        <v>19</v>
      </c>
      <c r="S26" s="124">
        <f t="shared" si="4"/>
        <v>109</v>
      </c>
    </row>
    <row r="27" spans="1:19" ht="20.100000000000001" customHeight="1" x14ac:dyDescent="0.3">
      <c r="A27" s="114" t="s">
        <v>26</v>
      </c>
      <c r="C27" s="116">
        <v>9.4815558937933364</v>
      </c>
      <c r="D27" s="116">
        <v>21.193516104196547</v>
      </c>
      <c r="E27" s="116">
        <v>14.531900740305627</v>
      </c>
      <c r="F27" s="116">
        <v>11.577381834625877</v>
      </c>
      <c r="G27" s="116">
        <v>12.843342016540202</v>
      </c>
      <c r="H27" s="116">
        <v>1.9432420758497044</v>
      </c>
      <c r="I27" s="117">
        <f t="shared" si="0"/>
        <v>71.570938665311289</v>
      </c>
      <c r="J27" s="116">
        <v>6.25</v>
      </c>
      <c r="K27" s="116">
        <v>7.8000000000000007</v>
      </c>
      <c r="L27" s="116">
        <f t="shared" si="1"/>
        <v>9.9770434186296519</v>
      </c>
      <c r="M27" s="118">
        <f t="shared" si="2"/>
        <v>82</v>
      </c>
      <c r="O27" s="116">
        <v>8.0500000000000007</v>
      </c>
      <c r="P27" s="116">
        <v>5.1000000000000005</v>
      </c>
      <c r="Q27" s="122">
        <f t="shared" si="3"/>
        <v>18</v>
      </c>
      <c r="S27" s="124">
        <f t="shared" si="4"/>
        <v>100</v>
      </c>
    </row>
    <row r="28" spans="1:19" ht="20.100000000000001" customHeight="1" x14ac:dyDescent="0.3">
      <c r="A28" s="114" t="s">
        <v>12</v>
      </c>
      <c r="C28" s="116">
        <v>0.5056384238119398</v>
      </c>
      <c r="D28" s="116">
        <v>3.9314882424346242</v>
      </c>
      <c r="E28" s="116">
        <v>0.678432701646692</v>
      </c>
      <c r="F28" s="116">
        <v>1.1127640044919844</v>
      </c>
      <c r="G28" s="116">
        <v>0.88573070540989074</v>
      </c>
      <c r="H28" s="116">
        <v>0.41404393777236126</v>
      </c>
      <c r="I28" s="117">
        <f t="shared" si="0"/>
        <v>7.528098015567493</v>
      </c>
      <c r="J28" s="116">
        <v>0</v>
      </c>
      <c r="K28" s="116">
        <v>6.6000000000000005</v>
      </c>
      <c r="L28" s="116">
        <f t="shared" si="1"/>
        <v>1.14062091144962</v>
      </c>
      <c r="M28" s="118">
        <f t="shared" si="2"/>
        <v>9</v>
      </c>
      <c r="O28" s="116">
        <v>2.3000000000000003</v>
      </c>
      <c r="P28" s="116">
        <v>3.5</v>
      </c>
      <c r="Q28" s="122">
        <f t="shared" si="3"/>
        <v>4</v>
      </c>
      <c r="S28" s="124">
        <f t="shared" si="4"/>
        <v>13</v>
      </c>
    </row>
    <row r="29" spans="1:19" ht="20.100000000000001" customHeight="1" x14ac:dyDescent="0.3">
      <c r="A29" s="114" t="s">
        <v>27</v>
      </c>
      <c r="C29" s="116">
        <v>3.7093860984271942</v>
      </c>
      <c r="D29" s="116">
        <v>19.772030232073227</v>
      </c>
      <c r="E29" s="116">
        <v>6.4198990405610425</v>
      </c>
      <c r="F29" s="116">
        <v>6.9123415979371554</v>
      </c>
      <c r="G29" s="116">
        <v>4.5794624071079486</v>
      </c>
      <c r="H29" s="116">
        <v>3.1183241471525744</v>
      </c>
      <c r="I29" s="117">
        <f t="shared" si="0"/>
        <v>44.511443523259146</v>
      </c>
      <c r="J29" s="116">
        <v>0</v>
      </c>
      <c r="K29" s="116">
        <v>7.8000000000000007</v>
      </c>
      <c r="L29" s="116">
        <f t="shared" si="1"/>
        <v>5.7065953234947617</v>
      </c>
      <c r="M29" s="118">
        <f t="shared" si="2"/>
        <v>51</v>
      </c>
      <c r="O29" s="116">
        <v>3.4</v>
      </c>
      <c r="P29" s="116">
        <v>5.1000000000000005</v>
      </c>
      <c r="Q29" s="122">
        <f t="shared" si="3"/>
        <v>11</v>
      </c>
      <c r="S29" s="124">
        <f t="shared" si="4"/>
        <v>62</v>
      </c>
    </row>
    <row r="30" spans="1:19" ht="20.100000000000001" customHeight="1" x14ac:dyDescent="0.3">
      <c r="A30" s="114" t="s">
        <v>28</v>
      </c>
      <c r="C30" s="116">
        <v>10.829325215626586</v>
      </c>
      <c r="D30" s="116">
        <v>40.117092718020032</v>
      </c>
      <c r="E30" s="116">
        <v>17.805561854424624</v>
      </c>
      <c r="F30" s="116">
        <v>21.254537632422821</v>
      </c>
      <c r="G30" s="116">
        <v>8.5172425347100642</v>
      </c>
      <c r="H30" s="116">
        <v>6.7644397302140007</v>
      </c>
      <c r="I30" s="117">
        <f t="shared" si="0"/>
        <v>105.28819968541814</v>
      </c>
      <c r="J30" s="116">
        <v>4.5</v>
      </c>
      <c r="K30" s="116">
        <v>7.8000000000000007</v>
      </c>
      <c r="L30" s="116">
        <f t="shared" si="1"/>
        <v>14.075410216079247</v>
      </c>
      <c r="M30" s="118">
        <f t="shared" si="2"/>
        <v>120</v>
      </c>
      <c r="O30" s="116">
        <v>13.5</v>
      </c>
      <c r="P30" s="116">
        <v>5.1000000000000005</v>
      </c>
      <c r="Q30" s="122">
        <f t="shared" si="3"/>
        <v>27</v>
      </c>
      <c r="S30" s="124">
        <f t="shared" si="4"/>
        <v>147</v>
      </c>
    </row>
    <row r="31" spans="1:19" ht="20.100000000000001" customHeight="1" x14ac:dyDescent="0.3">
      <c r="A31" s="114" t="s">
        <v>13</v>
      </c>
      <c r="C31" s="116">
        <v>0.4546118721461187</v>
      </c>
      <c r="D31" s="116">
        <v>2.5865606672319439</v>
      </c>
      <c r="E31" s="116">
        <v>0.58056200533177926</v>
      </c>
      <c r="F31" s="116">
        <v>1.2213201116854298</v>
      </c>
      <c r="G31" s="116">
        <v>0.89034033687722425</v>
      </c>
      <c r="H31" s="116">
        <v>0.4098876954150289</v>
      </c>
      <c r="I31" s="117">
        <f t="shared" si="0"/>
        <v>6.143282688687524</v>
      </c>
      <c r="J31" s="116">
        <v>0</v>
      </c>
      <c r="K31" s="116">
        <v>6.6000000000000005</v>
      </c>
      <c r="L31" s="116">
        <f t="shared" si="1"/>
        <v>0.93080040737689751</v>
      </c>
      <c r="M31" s="118">
        <f t="shared" si="2"/>
        <v>8</v>
      </c>
      <c r="O31" s="116">
        <v>1.8</v>
      </c>
      <c r="P31" s="116">
        <v>3.5</v>
      </c>
      <c r="Q31" s="122">
        <f t="shared" si="3"/>
        <v>3</v>
      </c>
      <c r="S31" s="124">
        <f t="shared" si="4"/>
        <v>11</v>
      </c>
    </row>
    <row r="32" spans="1:19" ht="20.100000000000001" customHeight="1" x14ac:dyDescent="0.3">
      <c r="A32" s="114" t="s">
        <v>14</v>
      </c>
      <c r="C32" s="116">
        <v>2.2972230678166752</v>
      </c>
      <c r="D32" s="116">
        <v>2.3320332660106322</v>
      </c>
      <c r="E32" s="116">
        <v>0.80663001588258598</v>
      </c>
      <c r="F32" s="116">
        <v>0.76216486153739205</v>
      </c>
      <c r="G32" s="116">
        <v>0.498167215252521</v>
      </c>
      <c r="H32" s="116">
        <v>0.18838706913275172</v>
      </c>
      <c r="I32" s="117">
        <f t="shared" si="0"/>
        <v>6.8846054956325577</v>
      </c>
      <c r="J32" s="116">
        <v>0.65</v>
      </c>
      <c r="K32" s="116">
        <v>6.6000000000000005</v>
      </c>
      <c r="L32" s="116">
        <f t="shared" si="1"/>
        <v>1.1416068932776602</v>
      </c>
      <c r="M32" s="118">
        <f t="shared" si="2"/>
        <v>9</v>
      </c>
      <c r="O32" s="116">
        <v>1.6500000000000001</v>
      </c>
      <c r="P32" s="116">
        <v>3.5</v>
      </c>
      <c r="Q32" s="122">
        <f t="shared" si="3"/>
        <v>4</v>
      </c>
      <c r="S32" s="124">
        <f t="shared" si="4"/>
        <v>13</v>
      </c>
    </row>
    <row r="33" spans="1:19" ht="20.100000000000001" customHeight="1" x14ac:dyDescent="0.3">
      <c r="A33" s="114" t="s">
        <v>44</v>
      </c>
      <c r="C33" s="116">
        <v>11.551023169288012</v>
      </c>
      <c r="D33" s="116">
        <v>65.890287577207971</v>
      </c>
      <c r="E33" s="116">
        <v>23.666400387092022</v>
      </c>
      <c r="F33" s="116">
        <v>26.588393755919757</v>
      </c>
      <c r="G33" s="116">
        <v>14.364737494148702</v>
      </c>
      <c r="H33" s="116">
        <v>6.0535400334840777</v>
      </c>
      <c r="I33" s="117">
        <f t="shared" si="0"/>
        <v>148.11438241714055</v>
      </c>
      <c r="J33" s="116">
        <v>9</v>
      </c>
      <c r="K33" s="116">
        <v>8.4</v>
      </c>
      <c r="L33" s="116">
        <f t="shared" si="1"/>
        <v>18.704093144897683</v>
      </c>
      <c r="M33" s="118">
        <f t="shared" si="2"/>
        <v>167</v>
      </c>
      <c r="O33" s="116">
        <v>14.7</v>
      </c>
      <c r="P33" s="116">
        <v>6.3000000000000007</v>
      </c>
      <c r="Q33" s="122">
        <f t="shared" si="3"/>
        <v>29</v>
      </c>
      <c r="S33" s="124">
        <f t="shared" si="4"/>
        <v>196</v>
      </c>
    </row>
    <row r="34" spans="1:19" ht="20.100000000000001" customHeight="1" x14ac:dyDescent="0.3">
      <c r="A34" s="114" t="s">
        <v>29</v>
      </c>
      <c r="C34" s="116">
        <v>2.7966920345002535</v>
      </c>
      <c r="D34" s="116">
        <v>16.61970079472318</v>
      </c>
      <c r="E34" s="116">
        <v>9.0939632226457494</v>
      </c>
      <c r="F34" s="116">
        <v>8.5779954551191828</v>
      </c>
      <c r="G34" s="116">
        <v>6.9875127174366201</v>
      </c>
      <c r="H34" s="116">
        <v>2.1424857603269807</v>
      </c>
      <c r="I34" s="117">
        <f t="shared" si="0"/>
        <v>46.218349984751967</v>
      </c>
      <c r="J34" s="116">
        <v>2</v>
      </c>
      <c r="K34" s="116">
        <v>7.8000000000000007</v>
      </c>
      <c r="L34" s="116">
        <f t="shared" si="1"/>
        <v>6.1818397416348674</v>
      </c>
      <c r="M34" s="118">
        <f t="shared" si="2"/>
        <v>53</v>
      </c>
      <c r="O34" s="116">
        <v>4.5</v>
      </c>
      <c r="P34" s="116">
        <v>5.1000000000000005</v>
      </c>
      <c r="Q34" s="122">
        <f t="shared" si="3"/>
        <v>12</v>
      </c>
      <c r="S34" s="124">
        <f t="shared" si="4"/>
        <v>65</v>
      </c>
    </row>
    <row r="35" spans="1:19" ht="20.100000000000001" customHeight="1" x14ac:dyDescent="0.3">
      <c r="A35" s="114" t="s">
        <v>30</v>
      </c>
      <c r="C35" s="116">
        <v>2.7592897006595636</v>
      </c>
      <c r="D35" s="116">
        <v>10.002956741052131</v>
      </c>
      <c r="E35" s="116">
        <v>7.3703947342625638</v>
      </c>
      <c r="F35" s="116">
        <v>7.048965247913844</v>
      </c>
      <c r="G35" s="116">
        <v>4.7464553840814228</v>
      </c>
      <c r="H35" s="116">
        <v>0.99012699877199706</v>
      </c>
      <c r="I35" s="117">
        <f t="shared" si="0"/>
        <v>32.918188806741519</v>
      </c>
      <c r="J35" s="116">
        <v>0</v>
      </c>
      <c r="K35" s="116">
        <v>7.8000000000000007</v>
      </c>
      <c r="L35" s="116">
        <f t="shared" si="1"/>
        <v>4.2202806162489122</v>
      </c>
      <c r="M35" s="118">
        <f t="shared" si="2"/>
        <v>38</v>
      </c>
      <c r="O35" s="116">
        <v>5.85</v>
      </c>
      <c r="P35" s="116">
        <v>5.1000000000000005</v>
      </c>
      <c r="Q35" s="122">
        <f t="shared" si="3"/>
        <v>9</v>
      </c>
      <c r="S35" s="124">
        <f t="shared" si="4"/>
        <v>47</v>
      </c>
    </row>
    <row r="36" spans="1:19" ht="20.100000000000001" customHeight="1" x14ac:dyDescent="0.3">
      <c r="A36" s="114" t="s">
        <v>55</v>
      </c>
      <c r="C36" s="116">
        <v>47.043389142567221</v>
      </c>
      <c r="D36" s="116">
        <v>391.57022439077673</v>
      </c>
      <c r="E36" s="116">
        <v>243.05846065095764</v>
      </c>
      <c r="F36" s="116">
        <v>167.63590758318992</v>
      </c>
      <c r="G36" s="116">
        <v>82.484232529575365</v>
      </c>
      <c r="H36" s="116">
        <v>40.383765359607906</v>
      </c>
      <c r="I36" s="117">
        <f t="shared" si="0"/>
        <v>972.17597965667471</v>
      </c>
      <c r="J36" s="116">
        <v>57.528500000000001</v>
      </c>
      <c r="K36" s="116">
        <v>9.6000000000000014</v>
      </c>
      <c r="L36" s="116">
        <f t="shared" si="1"/>
        <v>107.26088329757027</v>
      </c>
      <c r="M36" s="118">
        <f t="shared" si="2"/>
        <v>1080</v>
      </c>
      <c r="O36" s="116">
        <v>164.42849999999999</v>
      </c>
      <c r="P36" s="116">
        <v>6.3000000000000007</v>
      </c>
      <c r="Q36" s="122">
        <f t="shared" si="3"/>
        <v>198</v>
      </c>
      <c r="S36" s="124">
        <f t="shared" si="4"/>
        <v>1278</v>
      </c>
    </row>
    <row r="37" spans="1:19" ht="20.100000000000001" customHeight="1" x14ac:dyDescent="0.3">
      <c r="A37" s="114" t="s">
        <v>31</v>
      </c>
      <c r="C37" s="116">
        <v>7.8993472010823602</v>
      </c>
      <c r="D37" s="116">
        <v>44.829718996325305</v>
      </c>
      <c r="E37" s="116">
        <v>23.144744859511825</v>
      </c>
      <c r="F37" s="116">
        <v>24.461898359327414</v>
      </c>
      <c r="G37" s="116">
        <v>14.147230442943517</v>
      </c>
      <c r="H37" s="116">
        <v>4.3649530566248744</v>
      </c>
      <c r="I37" s="117">
        <f t="shared" si="0"/>
        <v>118.84789291581529</v>
      </c>
      <c r="J37" s="116">
        <v>2.5</v>
      </c>
      <c r="K37" s="116">
        <v>7.8000000000000007</v>
      </c>
      <c r="L37" s="116">
        <f t="shared" si="1"/>
        <v>15.557422168694266</v>
      </c>
      <c r="M37" s="118">
        <f t="shared" si="2"/>
        <v>135</v>
      </c>
      <c r="O37" s="116">
        <v>8.5</v>
      </c>
      <c r="P37" s="116">
        <v>5.1000000000000005</v>
      </c>
      <c r="Q37" s="122">
        <f t="shared" si="3"/>
        <v>29</v>
      </c>
      <c r="S37" s="124">
        <f t="shared" si="4"/>
        <v>164</v>
      </c>
    </row>
    <row r="38" spans="1:19" ht="20.100000000000001" customHeight="1" x14ac:dyDescent="0.3">
      <c r="A38" s="114" t="s">
        <v>15</v>
      </c>
      <c r="C38" s="116">
        <v>0.62285810925080332</v>
      </c>
      <c r="D38" s="116">
        <v>2.4040752124728915</v>
      </c>
      <c r="E38" s="116">
        <v>1.2928500660898741</v>
      </c>
      <c r="F38" s="116">
        <v>1.5775149741999863</v>
      </c>
      <c r="G38" s="116">
        <v>1.3238879283495799</v>
      </c>
      <c r="H38" s="116">
        <v>0.50264838512386378</v>
      </c>
      <c r="I38" s="117">
        <f t="shared" si="0"/>
        <v>7.7238346754869998</v>
      </c>
      <c r="J38" s="116">
        <v>0.05</v>
      </c>
      <c r="K38" s="116">
        <v>6.6000000000000005</v>
      </c>
      <c r="L38" s="116">
        <f t="shared" si="1"/>
        <v>1.1778537387101513</v>
      </c>
      <c r="M38" s="118">
        <f t="shared" si="2"/>
        <v>9</v>
      </c>
      <c r="O38" s="116">
        <v>1.05</v>
      </c>
      <c r="P38" s="116">
        <v>3.5</v>
      </c>
      <c r="Q38" s="122">
        <f t="shared" si="3"/>
        <v>3</v>
      </c>
      <c r="S38" s="124">
        <f t="shared" si="4"/>
        <v>12</v>
      </c>
    </row>
    <row r="39" spans="1:19" ht="20.100000000000001" customHeight="1" x14ac:dyDescent="0.3">
      <c r="A39" s="114" t="s">
        <v>56</v>
      </c>
      <c r="C39" s="116">
        <v>37.740659563673262</v>
      </c>
      <c r="D39" s="116">
        <v>260.92940944211966</v>
      </c>
      <c r="E39" s="116">
        <v>174.18708733110572</v>
      </c>
      <c r="F39" s="116">
        <v>170.02087549445557</v>
      </c>
      <c r="G39" s="116">
        <v>83.17311944034364</v>
      </c>
      <c r="H39" s="116">
        <v>51.704160966623178</v>
      </c>
      <c r="I39" s="117">
        <f t="shared" si="0"/>
        <v>777.75531223832093</v>
      </c>
      <c r="J39" s="116">
        <v>38.399999999999984</v>
      </c>
      <c r="K39" s="116">
        <v>9.6000000000000014</v>
      </c>
      <c r="L39" s="116">
        <f t="shared" si="1"/>
        <v>85.016178358158413</v>
      </c>
      <c r="M39" s="118">
        <f t="shared" si="2"/>
        <v>863</v>
      </c>
      <c r="O39" s="116">
        <v>121.39999999999998</v>
      </c>
      <c r="P39" s="116">
        <v>6.3000000000000007</v>
      </c>
      <c r="Q39" s="122">
        <f t="shared" si="3"/>
        <v>157</v>
      </c>
      <c r="S39" s="124">
        <f t="shared" si="4"/>
        <v>1020</v>
      </c>
    </row>
    <row r="40" spans="1:19" ht="20.100000000000001" customHeight="1" x14ac:dyDescent="0.3">
      <c r="A40" s="114" t="s">
        <v>57</v>
      </c>
      <c r="C40" s="116">
        <v>22.22866903433113</v>
      </c>
      <c r="D40" s="116">
        <v>183.52840565347276</v>
      </c>
      <c r="E40" s="116">
        <v>125.03975740442992</v>
      </c>
      <c r="F40" s="116">
        <v>105.9712125919572</v>
      </c>
      <c r="G40" s="116">
        <v>57.468695278327402</v>
      </c>
      <c r="H40" s="116">
        <v>17.732693968585316</v>
      </c>
      <c r="I40" s="117">
        <f t="shared" si="0"/>
        <v>511.96943393110365</v>
      </c>
      <c r="J40" s="116">
        <v>25.560000000000002</v>
      </c>
      <c r="K40" s="116">
        <v>9.6000000000000014</v>
      </c>
      <c r="L40" s="116">
        <f t="shared" si="1"/>
        <v>55.99264936782329</v>
      </c>
      <c r="M40" s="118">
        <f t="shared" si="2"/>
        <v>568</v>
      </c>
      <c r="O40" s="116">
        <v>62.86</v>
      </c>
      <c r="P40" s="116">
        <v>6.3000000000000007</v>
      </c>
      <c r="Q40" s="122">
        <f t="shared" si="3"/>
        <v>101</v>
      </c>
      <c r="S40" s="124">
        <f t="shared" si="4"/>
        <v>669</v>
      </c>
    </row>
    <row r="41" spans="1:19" ht="20.100000000000001" customHeight="1" x14ac:dyDescent="0.3">
      <c r="A41" s="114" t="s">
        <v>16</v>
      </c>
      <c r="C41" s="116">
        <v>1.2878741755454084</v>
      </c>
      <c r="D41" s="116">
        <v>7.4792452258027868</v>
      </c>
      <c r="E41" s="116">
        <v>3.3609220281134959</v>
      </c>
      <c r="F41" s="116">
        <v>4.4831971274608886</v>
      </c>
      <c r="G41" s="116">
        <v>2.0920813519770114</v>
      </c>
      <c r="H41" s="116">
        <v>0.7356991448917809</v>
      </c>
      <c r="I41" s="117">
        <f t="shared" si="0"/>
        <v>19.439019053791373</v>
      </c>
      <c r="J41" s="116">
        <v>0</v>
      </c>
      <c r="K41" s="116">
        <v>6.6000000000000005</v>
      </c>
      <c r="L41" s="116">
        <f t="shared" si="1"/>
        <v>2.9453059172411171</v>
      </c>
      <c r="M41" s="118">
        <f t="shared" si="2"/>
        <v>23</v>
      </c>
      <c r="O41" s="116">
        <v>1.5</v>
      </c>
      <c r="P41" s="116">
        <v>3.5</v>
      </c>
      <c r="Q41" s="122">
        <f t="shared" si="3"/>
        <v>7</v>
      </c>
      <c r="S41" s="124">
        <f t="shared" si="4"/>
        <v>30</v>
      </c>
    </row>
    <row r="42" spans="1:19" ht="20.100000000000001" customHeight="1" x14ac:dyDescent="0.3">
      <c r="A42" s="114" t="s">
        <v>58</v>
      </c>
      <c r="C42" s="116">
        <v>25.919222053103329</v>
      </c>
      <c r="D42" s="116">
        <v>311.10044135436419</v>
      </c>
      <c r="E42" s="116">
        <v>174.03294074748311</v>
      </c>
      <c r="F42" s="116">
        <v>185.6923845188625</v>
      </c>
      <c r="G42" s="116">
        <v>85.458334986283319</v>
      </c>
      <c r="H42" s="116">
        <v>57.770588310647497</v>
      </c>
      <c r="I42" s="117">
        <f t="shared" si="0"/>
        <v>839.97391197074398</v>
      </c>
      <c r="J42" s="116">
        <v>41</v>
      </c>
      <c r="K42" s="116">
        <v>9.6000000000000014</v>
      </c>
      <c r="L42" s="116">
        <f t="shared" si="1"/>
        <v>91.768115830285822</v>
      </c>
      <c r="M42" s="118">
        <f t="shared" si="2"/>
        <v>932</v>
      </c>
      <c r="O42" s="116">
        <v>100</v>
      </c>
      <c r="P42" s="116">
        <v>6.3000000000000007</v>
      </c>
      <c r="Q42" s="122">
        <f t="shared" si="3"/>
        <v>164</v>
      </c>
      <c r="S42" s="124">
        <f t="shared" si="4"/>
        <v>1096</v>
      </c>
    </row>
    <row r="43" spans="1:19" ht="20.100000000000001" customHeight="1" x14ac:dyDescent="0.3">
      <c r="A43" s="114" t="s">
        <v>59</v>
      </c>
      <c r="C43" s="116">
        <v>34.40267207847117</v>
      </c>
      <c r="D43" s="116">
        <v>237.65170676829268</v>
      </c>
      <c r="E43" s="116">
        <v>240.65759932356309</v>
      </c>
      <c r="F43" s="116">
        <v>219.09827721561089</v>
      </c>
      <c r="G43" s="116">
        <v>80.172185270395573</v>
      </c>
      <c r="H43" s="116">
        <v>23.639359253625791</v>
      </c>
      <c r="I43" s="117">
        <f t="shared" si="0"/>
        <v>835.62179990995924</v>
      </c>
      <c r="J43" s="116">
        <v>28.080000000000002</v>
      </c>
      <c r="K43" s="116">
        <v>9.6000000000000014</v>
      </c>
      <c r="L43" s="116">
        <f t="shared" si="1"/>
        <v>89.968937490620746</v>
      </c>
      <c r="M43" s="118">
        <f t="shared" si="2"/>
        <v>926</v>
      </c>
      <c r="O43" s="116">
        <v>82.409999999999926</v>
      </c>
      <c r="P43" s="116">
        <v>6.3000000000000007</v>
      </c>
      <c r="Q43" s="122">
        <f t="shared" si="3"/>
        <v>161</v>
      </c>
      <c r="S43" s="124">
        <f t="shared" si="4"/>
        <v>1087</v>
      </c>
    </row>
    <row r="44" spans="1:19" ht="20.100000000000001" customHeight="1" x14ac:dyDescent="0.3">
      <c r="A44" s="114" t="s">
        <v>60</v>
      </c>
      <c r="C44" s="116">
        <v>6.6220260443091501</v>
      </c>
      <c r="D44" s="116">
        <v>50.457065450085032</v>
      </c>
      <c r="E44" s="116">
        <v>74.591495161688954</v>
      </c>
      <c r="F44" s="116">
        <v>32.549284216115346</v>
      </c>
      <c r="G44" s="116">
        <v>26.213500101426199</v>
      </c>
      <c r="H44" s="116">
        <v>8.7453096363868248</v>
      </c>
      <c r="I44" s="117">
        <f t="shared" si="0"/>
        <v>199.17868061001153</v>
      </c>
      <c r="J44" s="116">
        <v>0</v>
      </c>
      <c r="K44" s="116">
        <v>8.4</v>
      </c>
      <c r="L44" s="116">
        <f t="shared" si="1"/>
        <v>23.711747691668037</v>
      </c>
      <c r="M44" s="118">
        <f t="shared" si="2"/>
        <v>223</v>
      </c>
      <c r="O44" s="116">
        <v>29.1</v>
      </c>
      <c r="P44" s="116">
        <v>6.3000000000000007</v>
      </c>
      <c r="Q44" s="122">
        <f t="shared" si="3"/>
        <v>41</v>
      </c>
      <c r="S44" s="124">
        <f t="shared" si="4"/>
        <v>264</v>
      </c>
    </row>
    <row r="45" spans="1:19" ht="20.100000000000001" customHeight="1" x14ac:dyDescent="0.3">
      <c r="A45" s="114" t="s">
        <v>45</v>
      </c>
      <c r="C45" s="116">
        <v>18.369173008625065</v>
      </c>
      <c r="D45" s="116">
        <v>105.65249439902864</v>
      </c>
      <c r="E45" s="116">
        <v>48.709409533180121</v>
      </c>
      <c r="F45" s="116">
        <v>51.150246175592287</v>
      </c>
      <c r="G45" s="116">
        <v>28.153966893160103</v>
      </c>
      <c r="H45" s="116">
        <v>15.994421873700695</v>
      </c>
      <c r="I45" s="117">
        <f t="shared" si="0"/>
        <v>268.02971188328689</v>
      </c>
      <c r="J45" s="116">
        <v>4</v>
      </c>
      <c r="K45" s="116">
        <v>8.4</v>
      </c>
      <c r="L45" s="116">
        <f t="shared" si="1"/>
        <v>32.384489509915106</v>
      </c>
      <c r="M45" s="118">
        <f t="shared" si="2"/>
        <v>301</v>
      </c>
      <c r="O45" s="116">
        <v>9.86</v>
      </c>
      <c r="P45" s="116">
        <v>6.3000000000000007</v>
      </c>
      <c r="Q45" s="122">
        <f t="shared" si="3"/>
        <v>50</v>
      </c>
      <c r="S45" s="124">
        <f t="shared" si="4"/>
        <v>351</v>
      </c>
    </row>
    <row r="46" spans="1:19" ht="20.100000000000001" customHeight="1" x14ac:dyDescent="0.3">
      <c r="A46" s="114" t="s">
        <v>32</v>
      </c>
      <c r="C46" s="116">
        <v>10.375741586335193</v>
      </c>
      <c r="D46" s="116">
        <v>44.266043663413598</v>
      </c>
      <c r="E46" s="116">
        <v>13.0595586066104</v>
      </c>
      <c r="F46" s="116">
        <v>13.807990436179976</v>
      </c>
      <c r="G46" s="116">
        <v>11.678704621860081</v>
      </c>
      <c r="H46" s="116">
        <v>3.5564243478079893</v>
      </c>
      <c r="I46" s="117">
        <f t="shared" si="0"/>
        <v>96.744463262207233</v>
      </c>
      <c r="J46" s="116">
        <v>4</v>
      </c>
      <c r="K46" s="116">
        <v>7.8000000000000007</v>
      </c>
      <c r="L46" s="116">
        <f t="shared" si="1"/>
        <v>12.915956828488106</v>
      </c>
      <c r="M46" s="118">
        <f t="shared" si="2"/>
        <v>110</v>
      </c>
      <c r="O46" s="116">
        <v>7</v>
      </c>
      <c r="P46" s="116">
        <v>5.1000000000000005</v>
      </c>
      <c r="Q46" s="122">
        <f t="shared" si="3"/>
        <v>23</v>
      </c>
      <c r="S46" s="124">
        <f t="shared" si="4"/>
        <v>133</v>
      </c>
    </row>
    <row r="47" spans="1:19" ht="20.100000000000001" customHeight="1" x14ac:dyDescent="0.3">
      <c r="A47" s="114" t="s">
        <v>46</v>
      </c>
      <c r="C47" s="116">
        <v>15.324025029595807</v>
      </c>
      <c r="D47" s="116">
        <v>69.733964520602314</v>
      </c>
      <c r="E47" s="116">
        <v>35.767860794814979</v>
      </c>
      <c r="F47" s="116">
        <v>27.329671731020181</v>
      </c>
      <c r="G47" s="116">
        <v>31.582220374065344</v>
      </c>
      <c r="H47" s="116">
        <v>4.7388008231294556</v>
      </c>
      <c r="I47" s="117">
        <f t="shared" si="0"/>
        <v>184.47654327322806</v>
      </c>
      <c r="J47" s="116">
        <v>9.5</v>
      </c>
      <c r="K47" s="116">
        <v>8.4</v>
      </c>
      <c r="L47" s="116">
        <f t="shared" si="1"/>
        <v>23.092445627765244</v>
      </c>
      <c r="M47" s="118">
        <f t="shared" si="2"/>
        <v>208</v>
      </c>
      <c r="O47" s="116">
        <v>17.05</v>
      </c>
      <c r="P47" s="116">
        <v>6.3000000000000007</v>
      </c>
      <c r="Q47" s="122">
        <f t="shared" si="3"/>
        <v>36</v>
      </c>
      <c r="S47" s="124">
        <f t="shared" si="4"/>
        <v>244</v>
      </c>
    </row>
    <row r="48" spans="1:19" ht="20.100000000000001" customHeight="1" x14ac:dyDescent="0.3">
      <c r="A48" s="114" t="s">
        <v>47</v>
      </c>
      <c r="C48" s="116">
        <v>13.498386605783866</v>
      </c>
      <c r="D48" s="116">
        <v>53.682610341415135</v>
      </c>
      <c r="E48" s="116">
        <v>22.196228525049367</v>
      </c>
      <c r="F48" s="116">
        <v>21.047037583371818</v>
      </c>
      <c r="G48" s="116">
        <v>14.800278268150725</v>
      </c>
      <c r="H48" s="116">
        <v>7.8643538064559912</v>
      </c>
      <c r="I48" s="117">
        <f t="shared" si="0"/>
        <v>133.08889513022689</v>
      </c>
      <c r="J48" s="116">
        <v>12.4</v>
      </c>
      <c r="K48" s="116">
        <v>8.4</v>
      </c>
      <c r="L48" s="116">
        <f t="shared" si="1"/>
        <v>17.320106563122248</v>
      </c>
      <c r="M48" s="118">
        <f t="shared" si="2"/>
        <v>151</v>
      </c>
      <c r="O48" s="116">
        <v>20.399999999999999</v>
      </c>
      <c r="P48" s="116">
        <v>6.3000000000000007</v>
      </c>
      <c r="Q48" s="122">
        <f t="shared" si="3"/>
        <v>28</v>
      </c>
      <c r="S48" s="124">
        <f t="shared" si="4"/>
        <v>179</v>
      </c>
    </row>
    <row r="49" spans="1:19" ht="20.100000000000001" customHeight="1" x14ac:dyDescent="0.3">
      <c r="A49" s="114" t="s">
        <v>61</v>
      </c>
      <c r="C49" s="116">
        <v>16.277469981396923</v>
      </c>
      <c r="D49" s="116">
        <v>147.7228676176305</v>
      </c>
      <c r="E49" s="116">
        <v>85.938039393539313</v>
      </c>
      <c r="F49" s="116">
        <v>75.417764161638686</v>
      </c>
      <c r="G49" s="116">
        <v>50.175301133926681</v>
      </c>
      <c r="H49" s="116">
        <v>10.736761468082198</v>
      </c>
      <c r="I49" s="117">
        <f t="shared" si="0"/>
        <v>386.26820375621429</v>
      </c>
      <c r="J49" s="116">
        <v>17.07</v>
      </c>
      <c r="K49" s="116">
        <v>9.6000000000000014</v>
      </c>
      <c r="L49" s="116">
        <f t="shared" si="1"/>
        <v>42.014396224605647</v>
      </c>
      <c r="M49" s="118">
        <f t="shared" si="2"/>
        <v>429</v>
      </c>
      <c r="O49" s="116">
        <v>28.42</v>
      </c>
      <c r="P49" s="116">
        <v>6.3000000000000007</v>
      </c>
      <c r="Q49" s="122">
        <f t="shared" si="3"/>
        <v>73</v>
      </c>
      <c r="S49" s="124">
        <f t="shared" si="4"/>
        <v>502</v>
      </c>
    </row>
    <row r="50" spans="1:19" ht="20.100000000000001" customHeight="1" x14ac:dyDescent="0.3">
      <c r="A50" s="114" t="s">
        <v>33</v>
      </c>
      <c r="C50" s="116">
        <v>7.4669710806697109</v>
      </c>
      <c r="D50" s="116">
        <v>32.5384282486148</v>
      </c>
      <c r="E50" s="116">
        <v>13.873139686015071</v>
      </c>
      <c r="F50" s="116">
        <v>12.697976630031608</v>
      </c>
      <c r="G50" s="116">
        <v>8.4765620175513554</v>
      </c>
      <c r="H50" s="116">
        <v>2.8848392907564717</v>
      </c>
      <c r="I50" s="117">
        <f t="shared" si="0"/>
        <v>77.937916953639018</v>
      </c>
      <c r="J50" s="116">
        <v>3</v>
      </c>
      <c r="K50" s="116">
        <v>7.8000000000000007</v>
      </c>
      <c r="L50" s="116">
        <f t="shared" si="1"/>
        <v>10.376656019697309</v>
      </c>
      <c r="M50" s="118">
        <f t="shared" si="2"/>
        <v>89</v>
      </c>
      <c r="O50" s="116">
        <v>14.326000000000002</v>
      </c>
      <c r="P50" s="116">
        <v>5.1000000000000005</v>
      </c>
      <c r="Q50" s="122">
        <f t="shared" si="3"/>
        <v>21</v>
      </c>
      <c r="S50" s="124">
        <f t="shared" si="4"/>
        <v>110</v>
      </c>
    </row>
    <row r="51" spans="1:19" ht="20.100000000000001" customHeight="1" x14ac:dyDescent="0.3">
      <c r="A51" s="114" t="s">
        <v>34</v>
      </c>
      <c r="C51" s="116">
        <v>9.475129375951294</v>
      </c>
      <c r="D51" s="116">
        <v>46.258606813278334</v>
      </c>
      <c r="E51" s="116">
        <v>14.076203415238153</v>
      </c>
      <c r="F51" s="116">
        <v>17.558907310166035</v>
      </c>
      <c r="G51" s="116">
        <v>12.733567681574041</v>
      </c>
      <c r="H51" s="116">
        <v>5.1389156125641389</v>
      </c>
      <c r="I51" s="117">
        <f t="shared" si="0"/>
        <v>105.241330208772</v>
      </c>
      <c r="J51" s="116">
        <v>1</v>
      </c>
      <c r="K51" s="116">
        <v>7.8000000000000007</v>
      </c>
      <c r="L51" s="116">
        <f t="shared" si="1"/>
        <v>13.620683360098973</v>
      </c>
      <c r="M51" s="118">
        <f t="shared" si="2"/>
        <v>119</v>
      </c>
      <c r="O51" s="116">
        <v>46.5</v>
      </c>
      <c r="P51" s="116">
        <v>5.1000000000000005</v>
      </c>
      <c r="Q51" s="122">
        <f t="shared" si="3"/>
        <v>33</v>
      </c>
      <c r="S51" s="124">
        <f t="shared" si="4"/>
        <v>152</v>
      </c>
    </row>
    <row r="52" spans="1:19" ht="20.100000000000001" customHeight="1" x14ac:dyDescent="0.3">
      <c r="A52" s="114" t="s">
        <v>17</v>
      </c>
      <c r="C52" s="116">
        <v>0.13906984610180959</v>
      </c>
      <c r="D52" s="116">
        <v>0.61563704188921298</v>
      </c>
      <c r="E52" s="116">
        <v>0.1938528975192316</v>
      </c>
      <c r="F52" s="116">
        <v>0.21954196007017274</v>
      </c>
      <c r="G52" s="116">
        <v>0.28044522418687956</v>
      </c>
      <c r="H52" s="116">
        <v>0.19233472622951792</v>
      </c>
      <c r="I52" s="117">
        <f t="shared" si="0"/>
        <v>1.6408816959968244</v>
      </c>
      <c r="J52" s="116">
        <v>0</v>
      </c>
      <c r="K52" s="116">
        <v>6.6000000000000005</v>
      </c>
      <c r="L52" s="116">
        <f t="shared" si="1"/>
        <v>0.24861843878739762</v>
      </c>
      <c r="M52" s="118">
        <f t="shared" si="2"/>
        <v>2</v>
      </c>
      <c r="O52" s="116">
        <v>1.71</v>
      </c>
      <c r="P52" s="116">
        <v>3.5</v>
      </c>
      <c r="Q52" s="122">
        <f t="shared" si="3"/>
        <v>2</v>
      </c>
      <c r="S52" s="124">
        <f t="shared" si="4"/>
        <v>4</v>
      </c>
    </row>
    <row r="53" spans="1:19" ht="20.100000000000001" customHeight="1" x14ac:dyDescent="0.3">
      <c r="A53" s="114" t="s">
        <v>35</v>
      </c>
      <c r="C53" s="116">
        <v>2.5249788601386776</v>
      </c>
      <c r="D53" s="116">
        <v>11.110171337056116</v>
      </c>
      <c r="E53" s="116">
        <v>3.2563590467322063</v>
      </c>
      <c r="F53" s="116">
        <v>4.0998916695078709</v>
      </c>
      <c r="G53" s="116">
        <v>3.6498552114513219</v>
      </c>
      <c r="H53" s="116">
        <v>1.1096860263885107</v>
      </c>
      <c r="I53" s="117">
        <f t="shared" si="0"/>
        <v>25.750942151274703</v>
      </c>
      <c r="J53" s="116">
        <v>0.05</v>
      </c>
      <c r="K53" s="116">
        <v>7.8000000000000007</v>
      </c>
      <c r="L53" s="116">
        <f t="shared" si="1"/>
        <v>3.3078130963172696</v>
      </c>
      <c r="M53" s="118">
        <f t="shared" si="2"/>
        <v>30</v>
      </c>
      <c r="O53" s="116">
        <v>4.6000000000000005</v>
      </c>
      <c r="P53" s="116">
        <v>5.1000000000000005</v>
      </c>
      <c r="Q53" s="122">
        <f t="shared" si="3"/>
        <v>7</v>
      </c>
      <c r="S53" s="124">
        <f t="shared" si="4"/>
        <v>37</v>
      </c>
    </row>
    <row r="54" spans="1:19" ht="20.100000000000001" customHeight="1" x14ac:dyDescent="0.3">
      <c r="A54" s="114" t="s">
        <v>48</v>
      </c>
      <c r="C54" s="116">
        <v>13.253921867072552</v>
      </c>
      <c r="D54" s="116">
        <v>42.513163269570931</v>
      </c>
      <c r="E54" s="116">
        <v>29.977305989375676</v>
      </c>
      <c r="F54" s="116">
        <v>31.911407768210644</v>
      </c>
      <c r="G54" s="116">
        <v>15.375436740457639</v>
      </c>
      <c r="H54" s="116">
        <v>4.5602565195603599</v>
      </c>
      <c r="I54" s="117">
        <f t="shared" si="0"/>
        <v>137.59149215424782</v>
      </c>
      <c r="J54" s="116">
        <v>2</v>
      </c>
      <c r="K54" s="116">
        <v>8.4</v>
      </c>
      <c r="L54" s="116">
        <f t="shared" si="1"/>
        <v>16.618034780267596</v>
      </c>
      <c r="M54" s="118">
        <f t="shared" si="2"/>
        <v>155</v>
      </c>
      <c r="O54" s="116">
        <v>7</v>
      </c>
      <c r="P54" s="116">
        <v>6.3000000000000007</v>
      </c>
      <c r="Q54" s="122">
        <f t="shared" si="3"/>
        <v>26</v>
      </c>
      <c r="S54" s="124">
        <f t="shared" si="4"/>
        <v>181</v>
      </c>
    </row>
    <row r="55" spans="1:19" ht="20.100000000000001" customHeight="1" x14ac:dyDescent="0.3">
      <c r="A55" s="114" t="s">
        <v>49</v>
      </c>
      <c r="C55" s="116">
        <v>10.898603077963811</v>
      </c>
      <c r="D55" s="116">
        <v>49.389740329260512</v>
      </c>
      <c r="E55" s="116">
        <v>26.730574883671487</v>
      </c>
      <c r="F55" s="116">
        <v>23.836998729694322</v>
      </c>
      <c r="G55" s="116">
        <v>19.750953063778155</v>
      </c>
      <c r="H55" s="116">
        <v>6.6656225866322263</v>
      </c>
      <c r="I55" s="117">
        <f t="shared" si="0"/>
        <v>137.27249267100052</v>
      </c>
      <c r="J55" s="116">
        <v>1.5</v>
      </c>
      <c r="K55" s="116">
        <v>8.4</v>
      </c>
      <c r="L55" s="116">
        <f t="shared" si="1"/>
        <v>16.520534841785775</v>
      </c>
      <c r="M55" s="118">
        <f t="shared" si="2"/>
        <v>154</v>
      </c>
      <c r="O55" s="116">
        <v>8.5</v>
      </c>
      <c r="P55" s="116">
        <v>6.3000000000000007</v>
      </c>
      <c r="Q55" s="122">
        <f t="shared" si="3"/>
        <v>26</v>
      </c>
      <c r="S55" s="124">
        <f t="shared" si="4"/>
        <v>180</v>
      </c>
    </row>
    <row r="56" spans="1:19" ht="20.100000000000001" customHeight="1" x14ac:dyDescent="0.3">
      <c r="A56" s="114" t="s">
        <v>50</v>
      </c>
      <c r="C56" s="116">
        <v>11.578400135295114</v>
      </c>
      <c r="D56" s="116">
        <v>77.944003770294955</v>
      </c>
      <c r="E56" s="116">
        <v>38.458739231876514</v>
      </c>
      <c r="F56" s="116">
        <v>40.711034708421849</v>
      </c>
      <c r="G56" s="116">
        <v>23.529653707591287</v>
      </c>
      <c r="H56" s="116">
        <v>6.9765160752604825</v>
      </c>
      <c r="I56" s="117">
        <f t="shared" si="0"/>
        <v>199.19834762874018</v>
      </c>
      <c r="J56" s="116">
        <v>1.9999979999999999</v>
      </c>
      <c r="K56" s="116">
        <v>8.4</v>
      </c>
      <c r="L56" s="116">
        <f t="shared" si="1"/>
        <v>23.952184003421451</v>
      </c>
      <c r="M56" s="118">
        <f t="shared" si="2"/>
        <v>224</v>
      </c>
      <c r="O56" s="116">
        <v>6.9999950000000002</v>
      </c>
      <c r="P56" s="116">
        <v>6.3000000000000007</v>
      </c>
      <c r="Q56" s="122">
        <f t="shared" si="3"/>
        <v>37</v>
      </c>
      <c r="S56" s="124">
        <f t="shared" si="4"/>
        <v>261</v>
      </c>
    </row>
    <row r="57" spans="1:19" ht="20.100000000000001" customHeight="1" x14ac:dyDescent="0.3">
      <c r="A57" s="114" t="s">
        <v>36</v>
      </c>
      <c r="C57" s="116">
        <v>3.2155724674446136</v>
      </c>
      <c r="D57" s="116">
        <v>21.760993362833517</v>
      </c>
      <c r="E57" s="116">
        <v>6.0132364280479509</v>
      </c>
      <c r="F57" s="116">
        <v>8.8260692820785103</v>
      </c>
      <c r="G57" s="116">
        <v>4.4158799715119885</v>
      </c>
      <c r="H57" s="116">
        <v>2.2944090185199877</v>
      </c>
      <c r="I57" s="117">
        <f t="shared" si="0"/>
        <v>46.526160530436563</v>
      </c>
      <c r="J57" s="116">
        <v>0</v>
      </c>
      <c r="K57" s="116">
        <v>7.8000000000000007</v>
      </c>
      <c r="L57" s="116">
        <f t="shared" si="1"/>
        <v>5.9648923756969952</v>
      </c>
      <c r="M57" s="118">
        <f t="shared" si="2"/>
        <v>53</v>
      </c>
      <c r="O57" s="116">
        <v>5.3</v>
      </c>
      <c r="P57" s="116">
        <v>5.1000000000000005</v>
      </c>
      <c r="Q57" s="122">
        <f t="shared" si="3"/>
        <v>12</v>
      </c>
      <c r="S57" s="124">
        <f t="shared" si="4"/>
        <v>65</v>
      </c>
    </row>
    <row r="58" spans="1:19" ht="20.100000000000001" customHeight="1" x14ac:dyDescent="0.3">
      <c r="A58" s="114" t="s">
        <v>37</v>
      </c>
      <c r="C58" s="116">
        <v>2.1869440216472182</v>
      </c>
      <c r="D58" s="116">
        <v>17.253250231439644</v>
      </c>
      <c r="E58" s="116">
        <v>4.9238537809622187</v>
      </c>
      <c r="F58" s="116">
        <v>7.5276627022771887</v>
      </c>
      <c r="G58" s="116">
        <v>3.8528683900810448</v>
      </c>
      <c r="H58" s="116">
        <v>1.6592258422446899</v>
      </c>
      <c r="I58" s="117">
        <f t="shared" si="0"/>
        <v>37.403804968651997</v>
      </c>
      <c r="J58" s="116">
        <v>1.25</v>
      </c>
      <c r="K58" s="116">
        <v>7.8000000000000007</v>
      </c>
      <c r="L58" s="116">
        <f t="shared" si="1"/>
        <v>4.9556160216220508</v>
      </c>
      <c r="M58" s="118">
        <f t="shared" si="2"/>
        <v>43</v>
      </c>
      <c r="O58" s="116">
        <v>3.05</v>
      </c>
      <c r="P58" s="116">
        <v>5.1000000000000005</v>
      </c>
      <c r="Q58" s="122">
        <f t="shared" si="3"/>
        <v>10</v>
      </c>
      <c r="S58" s="124">
        <f t="shared" si="4"/>
        <v>53</v>
      </c>
    </row>
    <row r="59" spans="1:19" ht="20.100000000000001" customHeight="1" x14ac:dyDescent="0.3">
      <c r="A59" s="114" t="s">
        <v>18</v>
      </c>
      <c r="C59" s="116">
        <v>0.56604769152714363</v>
      </c>
      <c r="D59" s="116">
        <v>4.1006720085953896</v>
      </c>
      <c r="E59" s="116">
        <v>1.2741920158441915</v>
      </c>
      <c r="F59" s="116">
        <v>1.5889860018620949</v>
      </c>
      <c r="G59" s="116">
        <v>1.0159208801206161</v>
      </c>
      <c r="H59" s="116">
        <v>0.65439355516220021</v>
      </c>
      <c r="I59" s="117">
        <f t="shared" si="0"/>
        <v>9.2002121531116341</v>
      </c>
      <c r="J59" s="116">
        <v>0</v>
      </c>
      <c r="K59" s="116">
        <v>6.6000000000000005</v>
      </c>
      <c r="L59" s="116">
        <f t="shared" si="1"/>
        <v>1.3939715383502476</v>
      </c>
      <c r="M59" s="118">
        <f t="shared" si="2"/>
        <v>11</v>
      </c>
      <c r="O59" s="116">
        <v>5.46</v>
      </c>
      <c r="P59" s="116">
        <v>3.5</v>
      </c>
      <c r="Q59" s="122">
        <f t="shared" si="3"/>
        <v>5</v>
      </c>
      <c r="S59" s="124">
        <f t="shared" si="4"/>
        <v>16</v>
      </c>
    </row>
    <row r="60" spans="1:19" ht="20.100000000000001" customHeight="1" x14ac:dyDescent="0.3">
      <c r="A60" s="114" t="s">
        <v>51</v>
      </c>
      <c r="C60" s="116">
        <v>13.976262472518181</v>
      </c>
      <c r="D60" s="116">
        <v>82.232791719742281</v>
      </c>
      <c r="E60" s="116">
        <v>29.261702101542301</v>
      </c>
      <c r="F60" s="116">
        <v>40.574779720183017</v>
      </c>
      <c r="G60" s="116">
        <v>18.608515570726006</v>
      </c>
      <c r="H60" s="116">
        <v>14.18731921528633</v>
      </c>
      <c r="I60" s="117">
        <f t="shared" si="0"/>
        <v>198.84137079999812</v>
      </c>
      <c r="J60" s="116">
        <v>3</v>
      </c>
      <c r="K60" s="116">
        <v>8.4</v>
      </c>
      <c r="L60" s="116">
        <f t="shared" si="1"/>
        <v>24.028734619047395</v>
      </c>
      <c r="M60" s="118">
        <f t="shared" si="2"/>
        <v>223</v>
      </c>
      <c r="O60" s="116">
        <v>17.75</v>
      </c>
      <c r="P60" s="116">
        <v>6.3000000000000007</v>
      </c>
      <c r="Q60" s="122">
        <f t="shared" si="3"/>
        <v>39</v>
      </c>
      <c r="S60" s="124">
        <f t="shared" si="4"/>
        <v>262</v>
      </c>
    </row>
    <row r="61" spans="1:19" ht="20.100000000000001" customHeight="1" x14ac:dyDescent="0.3">
      <c r="A61" s="114" t="s">
        <v>38</v>
      </c>
      <c r="C61" s="116">
        <v>1.0626889903602232</v>
      </c>
      <c r="D61" s="116">
        <v>13.647486682289871</v>
      </c>
      <c r="E61" s="116">
        <v>4.2858685448780749</v>
      </c>
      <c r="F61" s="116">
        <v>4.4844391608805241</v>
      </c>
      <c r="G61" s="116">
        <v>3.2022487701977367</v>
      </c>
      <c r="H61" s="116">
        <v>2.2311910760781699</v>
      </c>
      <c r="I61" s="117">
        <f t="shared" si="0"/>
        <v>28.913923224684599</v>
      </c>
      <c r="J61" s="116">
        <v>0</v>
      </c>
      <c r="K61" s="116">
        <v>7.8000000000000007</v>
      </c>
      <c r="L61" s="116">
        <f t="shared" si="1"/>
        <v>3.7069132339339226</v>
      </c>
      <c r="M61" s="118">
        <f t="shared" si="2"/>
        <v>33</v>
      </c>
      <c r="O61" s="116">
        <v>2</v>
      </c>
      <c r="P61" s="116">
        <v>5.1000000000000005</v>
      </c>
      <c r="Q61" s="122">
        <f t="shared" si="3"/>
        <v>7</v>
      </c>
      <c r="S61" s="124">
        <f t="shared" si="4"/>
        <v>40</v>
      </c>
    </row>
    <row r="62" spans="1:19" ht="20.100000000000001" customHeight="1" x14ac:dyDescent="0.3">
      <c r="A62" s="114" t="s">
        <v>52</v>
      </c>
      <c r="C62" s="116">
        <v>16.52310502283105</v>
      </c>
      <c r="D62" s="116">
        <v>81.697830584514122</v>
      </c>
      <c r="E62" s="116">
        <v>47.230870497921515</v>
      </c>
      <c r="F62" s="116">
        <v>41.655449914236307</v>
      </c>
      <c r="G62" s="116">
        <v>25.331763326762673</v>
      </c>
      <c r="H62" s="116">
        <v>9.6978237989512124</v>
      </c>
      <c r="I62" s="117">
        <f t="shared" si="0"/>
        <v>222.13684314521689</v>
      </c>
      <c r="J62" s="116">
        <v>10</v>
      </c>
      <c r="K62" s="116">
        <v>8.4</v>
      </c>
      <c r="L62" s="116">
        <f t="shared" si="1"/>
        <v>27.635338469668675</v>
      </c>
      <c r="M62" s="118">
        <f t="shared" si="2"/>
        <v>250</v>
      </c>
      <c r="O62" s="116">
        <v>64.709999999999994</v>
      </c>
      <c r="P62" s="116">
        <v>6.3000000000000007</v>
      </c>
      <c r="Q62" s="122">
        <f t="shared" si="3"/>
        <v>50</v>
      </c>
      <c r="S62" s="124">
        <f t="shared" si="4"/>
        <v>300</v>
      </c>
    </row>
    <row r="63" spans="1:19" ht="20.100000000000001" customHeight="1" x14ac:dyDescent="0.3">
      <c r="A63" s="114" t="s">
        <v>39</v>
      </c>
      <c r="C63" s="116">
        <v>5.4566277693218339</v>
      </c>
      <c r="D63" s="116">
        <v>28.003939955238156</v>
      </c>
      <c r="E63" s="116">
        <v>10.038892215077475</v>
      </c>
      <c r="F63" s="116">
        <v>13.34917923681933</v>
      </c>
      <c r="G63" s="116">
        <v>7.0124526897801092</v>
      </c>
      <c r="H63" s="116">
        <v>4.4879811996688259</v>
      </c>
      <c r="I63" s="117">
        <f t="shared" si="0"/>
        <v>68.349073065905742</v>
      </c>
      <c r="J63" s="116">
        <v>1.5</v>
      </c>
      <c r="K63" s="116">
        <v>7.8000000000000007</v>
      </c>
      <c r="L63" s="116">
        <f t="shared" si="1"/>
        <v>8.9550093674238127</v>
      </c>
      <c r="M63" s="118">
        <f t="shared" si="2"/>
        <v>78</v>
      </c>
      <c r="O63" s="116">
        <v>10.4</v>
      </c>
      <c r="P63" s="116">
        <v>5.1000000000000005</v>
      </c>
      <c r="Q63" s="122">
        <f t="shared" si="3"/>
        <v>18</v>
      </c>
      <c r="S63" s="124">
        <f t="shared" si="4"/>
        <v>96</v>
      </c>
    </row>
    <row r="64" spans="1:19" ht="20.100000000000001" customHeight="1" x14ac:dyDescent="0.3">
      <c r="A64" s="114" t="s">
        <v>40</v>
      </c>
      <c r="C64" s="116">
        <v>1.7649788601386773</v>
      </c>
      <c r="D64" s="116">
        <v>19.341150403020144</v>
      </c>
      <c r="E64" s="116">
        <v>5.0748330270038204</v>
      </c>
      <c r="F64" s="116">
        <v>7.940448527383019</v>
      </c>
      <c r="G64" s="116">
        <v>3.7257934816302374</v>
      </c>
      <c r="H64" s="116">
        <v>2.2130711947661981</v>
      </c>
      <c r="I64" s="117">
        <f t="shared" si="0"/>
        <v>40.0602754939421</v>
      </c>
      <c r="J64" s="116">
        <v>0</v>
      </c>
      <c r="K64" s="116">
        <v>7.8000000000000007</v>
      </c>
      <c r="L64" s="116">
        <f t="shared" si="1"/>
        <v>5.1359327556336023</v>
      </c>
      <c r="M64" s="118">
        <f t="shared" si="2"/>
        <v>46</v>
      </c>
      <c r="O64" s="116">
        <v>4.6500000000000004</v>
      </c>
      <c r="P64" s="116">
        <v>5.1000000000000005</v>
      </c>
      <c r="Q64" s="122">
        <f t="shared" si="3"/>
        <v>10</v>
      </c>
      <c r="S64" s="124">
        <f t="shared" si="4"/>
        <v>56</v>
      </c>
    </row>
    <row r="65" spans="1:20" s="112" customFormat="1" ht="20.100000000000001" customHeight="1" thickBot="1" x14ac:dyDescent="0.35">
      <c r="A65" s="113" t="s">
        <v>62</v>
      </c>
      <c r="B65" s="53"/>
      <c r="C65" s="119">
        <f>SUM(C7:C64)</f>
        <v>680.36894977168959</v>
      </c>
      <c r="D65" s="119">
        <f t="shared" ref="D65:Q65" si="5">SUM(D7:D64)</f>
        <v>4065.6843582828901</v>
      </c>
      <c r="E65" s="119">
        <f t="shared" si="5"/>
        <v>2991.8936604492301</v>
      </c>
      <c r="F65" s="119">
        <f t="shared" si="5"/>
        <v>2501.9755030832393</v>
      </c>
      <c r="G65" s="119">
        <f t="shared" si="5"/>
        <v>1383.5266422910834</v>
      </c>
      <c r="H65" s="119">
        <f t="shared" ref="H65" si="6">SUM(H7:H64)</f>
        <v>684.81922403956821</v>
      </c>
      <c r="I65" s="119">
        <f>SUM(I7:I64)</f>
        <v>12308.268337917702</v>
      </c>
      <c r="J65" s="119">
        <f t="shared" ref="J65" si="7">SUM(J7:J64)</f>
        <v>569.88849800000003</v>
      </c>
      <c r="K65" s="110"/>
      <c r="L65" s="120">
        <f>SUM(L7:L64)</f>
        <v>1426.9244843824636</v>
      </c>
      <c r="M65" s="121">
        <f>SUM(M7:M64)</f>
        <v>13765</v>
      </c>
      <c r="N65" s="53"/>
      <c r="O65" s="119">
        <f t="shared" si="5"/>
        <v>1571.2744949999997</v>
      </c>
      <c r="P65" s="110"/>
      <c r="Q65" s="121">
        <f t="shared" si="5"/>
        <v>2558</v>
      </c>
      <c r="R65" s="53"/>
      <c r="S65" s="123">
        <f>SUM(S7:S64)</f>
        <v>16323</v>
      </c>
      <c r="T65" s="101"/>
    </row>
    <row r="66" spans="1:20" s="112" customFormat="1" ht="20.100000000000001" customHeight="1" thickTop="1" x14ac:dyDescent="0.3">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 customHeight="1" x14ac:dyDescent="0.3">
      <c r="A67" s="237"/>
      <c r="B67" s="53"/>
      <c r="C67" s="108" t="s">
        <v>218</v>
      </c>
      <c r="E67" s="236"/>
      <c r="F67" s="236"/>
      <c r="G67" s="236"/>
      <c r="H67" s="236"/>
      <c r="I67" s="236"/>
      <c r="J67" s="236"/>
      <c r="K67" s="236"/>
      <c r="L67" s="236"/>
      <c r="M67" s="236"/>
      <c r="N67" s="236"/>
      <c r="O67" s="236"/>
      <c r="P67" s="236"/>
      <c r="Q67" s="236"/>
      <c r="R67" s="236"/>
      <c r="S67" s="236"/>
      <c r="T67" s="101"/>
    </row>
    <row r="68" spans="1:20" ht="21.6" customHeight="1" x14ac:dyDescent="0.3">
      <c r="A68" s="240"/>
      <c r="C68" s="108" t="s">
        <v>231</v>
      </c>
      <c r="D68" s="236"/>
      <c r="E68" s="236"/>
      <c r="F68" s="236"/>
      <c r="G68" s="236"/>
      <c r="H68" s="236"/>
      <c r="I68" s="236"/>
      <c r="J68" s="236"/>
      <c r="K68" s="236"/>
      <c r="L68" s="236"/>
      <c r="M68" s="236"/>
      <c r="N68" s="236"/>
      <c r="O68" s="236"/>
      <c r="P68" s="236"/>
      <c r="Q68" s="236"/>
    </row>
  </sheetData>
  <mergeCells count="3">
    <mergeCell ref="C4:M4"/>
    <mergeCell ref="O4:Q4"/>
    <mergeCell ref="A5:A6"/>
  </mergeCells>
  <printOptions horizontalCentered="1"/>
  <pageMargins left="0.25" right="0.25" top="0.5" bottom="0.25" header="0.3" footer="0.3"/>
  <pageSetup scale="51"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H19" sqref="H19"/>
    </sheetView>
  </sheetViews>
  <sheetFormatPr defaultColWidth="9.21875" defaultRowHeight="14.4" x14ac:dyDescent="0.3"/>
  <cols>
    <col min="1" max="1" width="17.77734375" style="125" customWidth="1"/>
    <col min="2" max="2" width="1.77734375" style="53" customWidth="1"/>
    <col min="3" max="4" width="15.77734375" style="125" customWidth="1"/>
    <col min="5" max="5" width="1.77734375" style="53" customWidth="1"/>
    <col min="6" max="6" width="15.77734375" style="125" customWidth="1"/>
    <col min="7" max="7" width="11.44140625" style="125" bestFit="1" customWidth="1"/>
    <col min="8" max="16384" width="9.21875" style="125"/>
  </cols>
  <sheetData>
    <row r="1" spans="1:7" ht="20.100000000000001" customHeight="1" x14ac:dyDescent="0.3">
      <c r="A1" s="138" t="s">
        <v>173</v>
      </c>
      <c r="B1" s="100"/>
      <c r="E1" s="100"/>
    </row>
    <row r="2" spans="1:7" ht="18.600000000000001" customHeight="1" x14ac:dyDescent="0.3">
      <c r="A2" s="49"/>
      <c r="B2" s="51"/>
      <c r="E2" s="51"/>
    </row>
    <row r="3" spans="1:7" ht="18.600000000000001" customHeight="1" x14ac:dyDescent="0.3">
      <c r="B3" s="51"/>
      <c r="E3" s="51"/>
    </row>
    <row r="4" spans="1:7" ht="43.2" x14ac:dyDescent="0.3">
      <c r="A4" s="295" t="s">
        <v>63</v>
      </c>
      <c r="B4" s="81"/>
      <c r="C4" s="126" t="s">
        <v>176</v>
      </c>
      <c r="D4" s="144" t="s">
        <v>175</v>
      </c>
      <c r="E4" s="81"/>
      <c r="F4" s="74" t="s">
        <v>171</v>
      </c>
    </row>
    <row r="5" spans="1:7" x14ac:dyDescent="0.3">
      <c r="A5" s="296"/>
      <c r="B5" s="81"/>
      <c r="C5" s="78" t="s">
        <v>65</v>
      </c>
      <c r="D5" s="78" t="s">
        <v>1</v>
      </c>
      <c r="E5" s="81"/>
      <c r="F5" s="78" t="s">
        <v>66</v>
      </c>
    </row>
    <row r="6" spans="1:7" ht="18.600000000000001" customHeight="1" x14ac:dyDescent="0.3">
      <c r="A6" s="127" t="s">
        <v>53</v>
      </c>
      <c r="B6" s="81"/>
      <c r="C6" s="139">
        <f>'Program 10'!C7+'Program 90'!C7</f>
        <v>57621604.617990047</v>
      </c>
      <c r="D6" s="128">
        <f>'Program 10'!B7+'Program 90'!B7</f>
        <v>585.59999999999991</v>
      </c>
      <c r="E6" s="81"/>
      <c r="F6" s="140">
        <f>C6/D6</f>
        <v>98397.548869518534</v>
      </c>
      <c r="G6" s="129"/>
    </row>
    <row r="7" spans="1:7" ht="18.600000000000001" customHeight="1" x14ac:dyDescent="0.3">
      <c r="A7" s="127" t="s">
        <v>4</v>
      </c>
      <c r="B7" s="82"/>
      <c r="C7" s="139">
        <f>'Program 10'!C8+'Program 90'!C8</f>
        <v>282002.89</v>
      </c>
      <c r="D7" s="128">
        <f>'Program 10'!B8+'Program 90'!B8</f>
        <v>4</v>
      </c>
      <c r="E7" s="82"/>
      <c r="F7" s="140">
        <f t="shared" ref="F7:F63" si="0">C7/D7</f>
        <v>70500.722500000003</v>
      </c>
      <c r="G7" s="129"/>
    </row>
    <row r="8" spans="1:7" ht="18.600000000000001" customHeight="1" x14ac:dyDescent="0.3">
      <c r="A8" s="127" t="s">
        <v>5</v>
      </c>
      <c r="B8" s="81"/>
      <c r="C8" s="139">
        <f>'Program 10'!C9+'Program 90'!C9</f>
        <v>1998522.8350000004</v>
      </c>
      <c r="D8" s="128">
        <f>'Program 10'!B9+'Program 90'!B9</f>
        <v>27.6</v>
      </c>
      <c r="E8" s="81"/>
      <c r="F8" s="140">
        <f t="shared" si="0"/>
        <v>72410.247644927542</v>
      </c>
      <c r="G8" s="129"/>
    </row>
    <row r="9" spans="1:7" ht="18.600000000000001" customHeight="1" x14ac:dyDescent="0.3">
      <c r="A9" s="127" t="s">
        <v>19</v>
      </c>
      <c r="C9" s="139">
        <f>'Program 10'!C10+'Program 90'!C10</f>
        <v>6616815.911000005</v>
      </c>
      <c r="D9" s="128">
        <f>'Program 10'!B10+'Program 90'!B10</f>
        <v>107.59999999999998</v>
      </c>
      <c r="F9" s="140">
        <f t="shared" si="0"/>
        <v>61494.57166356883</v>
      </c>
      <c r="G9" s="129"/>
    </row>
    <row r="10" spans="1:7" ht="18.600000000000001" customHeight="1" x14ac:dyDescent="0.3">
      <c r="A10" s="127" t="s">
        <v>6</v>
      </c>
      <c r="C10" s="139">
        <f>'Program 10'!C11+'Program 90'!C11</f>
        <v>1769848.105</v>
      </c>
      <c r="D10" s="128">
        <f>'Program 10'!B11+'Program 90'!B11</f>
        <v>23.349999999999998</v>
      </c>
      <c r="F10" s="140">
        <f t="shared" si="0"/>
        <v>75796.492719486094</v>
      </c>
      <c r="G10" s="129"/>
    </row>
    <row r="11" spans="1:7" ht="18.600000000000001" customHeight="1" x14ac:dyDescent="0.3">
      <c r="A11" s="127" t="s">
        <v>7</v>
      </c>
      <c r="C11" s="139">
        <f>'Program 10'!C12+'Program 90'!C12</f>
        <v>729699.8</v>
      </c>
      <c r="D11" s="128">
        <f>'Program 10'!B12+'Program 90'!B12</f>
        <v>13.099999999999998</v>
      </c>
      <c r="F11" s="140">
        <f t="shared" si="0"/>
        <v>55702.274809160321</v>
      </c>
      <c r="G11" s="129"/>
    </row>
    <row r="12" spans="1:7" ht="18.600000000000001" customHeight="1" x14ac:dyDescent="0.3">
      <c r="A12" s="127" t="s">
        <v>41</v>
      </c>
      <c r="B12" s="83"/>
      <c r="C12" s="139">
        <f>'Program 10'!C13+'Program 90'!C13</f>
        <v>24663445.370999999</v>
      </c>
      <c r="D12" s="128">
        <f>'Program 10'!B13+'Program 90'!B13</f>
        <v>287.75</v>
      </c>
      <c r="E12" s="83"/>
      <c r="F12" s="140">
        <f t="shared" si="0"/>
        <v>85711.36532059079</v>
      </c>
      <c r="G12" s="129"/>
    </row>
    <row r="13" spans="1:7" ht="18.600000000000001" customHeight="1" x14ac:dyDescent="0.3">
      <c r="A13" s="127" t="s">
        <v>8</v>
      </c>
      <c r="C13" s="139">
        <f>'Program 10'!C14+'Program 90'!C14</f>
        <v>1407035.4607708333</v>
      </c>
      <c r="D13" s="128">
        <f>'Program 10'!B14+'Program 90'!B14</f>
        <v>21</v>
      </c>
      <c r="F13" s="140">
        <f t="shared" si="0"/>
        <v>67001.688608134922</v>
      </c>
      <c r="G13" s="129"/>
    </row>
    <row r="14" spans="1:7" ht="18.600000000000001" customHeight="1" x14ac:dyDescent="0.3">
      <c r="A14" s="127" t="s">
        <v>20</v>
      </c>
      <c r="C14" s="139">
        <f>'Program 10'!C15+'Program 90'!C15</f>
        <v>4797452.9956571413</v>
      </c>
      <c r="D14" s="128">
        <f>'Program 10'!B15+'Program 90'!B15</f>
        <v>68.059999999999988</v>
      </c>
      <c r="F14" s="140">
        <f t="shared" si="0"/>
        <v>70488.583538894236</v>
      </c>
      <c r="G14" s="129"/>
    </row>
    <row r="15" spans="1:7" ht="18.600000000000001" customHeight="1" x14ac:dyDescent="0.3">
      <c r="A15" s="127" t="s">
        <v>42</v>
      </c>
      <c r="C15" s="139">
        <f>'Program 10'!C16+'Program 90'!C16</f>
        <v>33411713.600000001</v>
      </c>
      <c r="D15" s="128">
        <f>'Program 10'!B16+'Program 90'!B16</f>
        <v>467.625</v>
      </c>
      <c r="F15" s="140">
        <f t="shared" si="0"/>
        <v>71449.80187115744</v>
      </c>
      <c r="G15" s="129"/>
    </row>
    <row r="16" spans="1:7" ht="18.600000000000001" customHeight="1" x14ac:dyDescent="0.3">
      <c r="A16" s="127" t="s">
        <v>9</v>
      </c>
      <c r="C16" s="139">
        <f>'Program 10'!C17+'Program 90'!C17</f>
        <v>1106567</v>
      </c>
      <c r="D16" s="128">
        <f>'Program 10'!B17+'Program 90'!B17</f>
        <v>19</v>
      </c>
      <c r="F16" s="140">
        <f t="shared" si="0"/>
        <v>58240.368421052633</v>
      </c>
      <c r="G16" s="129"/>
    </row>
    <row r="17" spans="1:7" ht="18.600000000000001" customHeight="1" x14ac:dyDescent="0.3">
      <c r="A17" s="127" t="s">
        <v>21</v>
      </c>
      <c r="C17" s="139">
        <f>'Program 10'!C18+'Program 90'!C18</f>
        <v>4197974.7684817677</v>
      </c>
      <c r="D17" s="128">
        <f>'Program 10'!B18+'Program 90'!B18</f>
        <v>64.433333333333323</v>
      </c>
      <c r="F17" s="140">
        <f t="shared" si="0"/>
        <v>65152.220928325427</v>
      </c>
      <c r="G17" s="129"/>
    </row>
    <row r="18" spans="1:7" ht="18.600000000000001" customHeight="1" x14ac:dyDescent="0.3">
      <c r="A18" s="127" t="s">
        <v>22</v>
      </c>
      <c r="B18" s="83"/>
      <c r="C18" s="139">
        <f>'Program 10'!C19+'Program 90'!C19</f>
        <v>5902156.8534209356</v>
      </c>
      <c r="D18" s="128">
        <f>'Program 10'!B19+'Program 90'!B19</f>
        <v>103.6</v>
      </c>
      <c r="E18" s="83"/>
      <c r="F18" s="140">
        <f t="shared" si="0"/>
        <v>56970.625998271586</v>
      </c>
      <c r="G18" s="129"/>
    </row>
    <row r="19" spans="1:7" ht="18.600000000000001" customHeight="1" x14ac:dyDescent="0.3">
      <c r="A19" s="127" t="s">
        <v>10</v>
      </c>
      <c r="C19" s="139">
        <f>'Program 10'!C20+'Program 90'!C20</f>
        <v>941386.229208</v>
      </c>
      <c r="D19" s="128">
        <f>'Program 10'!B20+'Program 90'!B20</f>
        <v>12.739999999999997</v>
      </c>
      <c r="F19" s="140">
        <f t="shared" si="0"/>
        <v>73892.168697645233</v>
      </c>
      <c r="G19" s="129"/>
    </row>
    <row r="20" spans="1:7" ht="18.600000000000001" customHeight="1" x14ac:dyDescent="0.3">
      <c r="A20" s="127" t="s">
        <v>43</v>
      </c>
      <c r="C20" s="139">
        <f>'Program 10'!C21+'Program 90'!C21</f>
        <v>35767142.508915439</v>
      </c>
      <c r="D20" s="128">
        <f>'Program 10'!B21+'Program 90'!B21</f>
        <v>474</v>
      </c>
      <c r="F20" s="140">
        <f t="shared" si="0"/>
        <v>75458.106558893327</v>
      </c>
      <c r="G20" s="129"/>
    </row>
    <row r="21" spans="1:7" ht="18.600000000000001" customHeight="1" x14ac:dyDescent="0.3">
      <c r="A21" s="127" t="s">
        <v>23</v>
      </c>
      <c r="C21" s="139">
        <f>'Program 10'!C22+'Program 90'!C22</f>
        <v>5799489.2799999993</v>
      </c>
      <c r="D21" s="128">
        <f>'Program 10'!B22+'Program 90'!B22</f>
        <v>87</v>
      </c>
      <c r="F21" s="140">
        <f t="shared" si="0"/>
        <v>66660.79632183908</v>
      </c>
      <c r="G21" s="129"/>
    </row>
    <row r="22" spans="1:7" ht="18.600000000000001" customHeight="1" x14ac:dyDescent="0.3">
      <c r="A22" s="127" t="s">
        <v>24</v>
      </c>
      <c r="C22" s="139">
        <f>'Program 10'!C23+'Program 90'!C23</f>
        <v>2238726.4300000002</v>
      </c>
      <c r="D22" s="128">
        <f>'Program 10'!B23+'Program 90'!B23</f>
        <v>33.099999999999994</v>
      </c>
      <c r="F22" s="140">
        <f t="shared" si="0"/>
        <v>67635.23957703929</v>
      </c>
      <c r="G22" s="129"/>
    </row>
    <row r="23" spans="1:7" ht="18.600000000000001" customHeight="1" x14ac:dyDescent="0.3">
      <c r="A23" s="127" t="s">
        <v>11</v>
      </c>
      <c r="C23" s="139">
        <f>'Program 10'!C24+'Program 90'!C24</f>
        <v>1527571.8850000002</v>
      </c>
      <c r="D23" s="128">
        <f>'Program 10'!B24+'Program 90'!B24</f>
        <v>23.5</v>
      </c>
      <c r="F23" s="140">
        <f t="shared" si="0"/>
        <v>65003.058936170222</v>
      </c>
      <c r="G23" s="129"/>
    </row>
    <row r="24" spans="1:7" ht="18.600000000000001" customHeight="1" x14ac:dyDescent="0.3">
      <c r="A24" s="127" t="s">
        <v>54</v>
      </c>
      <c r="C24" s="139">
        <f>'Program 10'!C25+'Program 90'!C25</f>
        <v>352136987.24027288</v>
      </c>
      <c r="D24" s="128">
        <f>'Program 10'!B25+'Program 90'!B25</f>
        <v>4116.25</v>
      </c>
      <c r="F24" s="140">
        <f t="shared" si="0"/>
        <v>85548.007832437987</v>
      </c>
      <c r="G24" s="129"/>
    </row>
    <row r="25" spans="1:7" ht="18.600000000000001" customHeight="1" x14ac:dyDescent="0.3">
      <c r="A25" s="127" t="s">
        <v>25</v>
      </c>
      <c r="C25" s="139">
        <f>'Program 10'!C26+'Program 90'!C26</f>
        <v>6840576.2060000002</v>
      </c>
      <c r="D25" s="128">
        <f>'Program 10'!B26+'Program 90'!B26</f>
        <v>95.86</v>
      </c>
      <c r="F25" s="140">
        <f t="shared" si="0"/>
        <v>71360.068912998118</v>
      </c>
      <c r="G25" s="129"/>
    </row>
    <row r="26" spans="1:7" ht="18.600000000000001" customHeight="1" x14ac:dyDescent="0.3">
      <c r="A26" s="127" t="s">
        <v>26</v>
      </c>
      <c r="C26" s="139">
        <f>'Program 10'!C27+'Program 90'!C27</f>
        <v>8182670.2629166674</v>
      </c>
      <c r="D26" s="128">
        <f>'Program 10'!B27+'Program 90'!B27</f>
        <v>94.411282051282072</v>
      </c>
      <c r="F26" s="140">
        <f t="shared" si="0"/>
        <v>86670.470786235339</v>
      </c>
      <c r="G26" s="129"/>
    </row>
    <row r="27" spans="1:7" ht="18.600000000000001" customHeight="1" x14ac:dyDescent="0.3">
      <c r="A27" s="127" t="s">
        <v>12</v>
      </c>
      <c r="C27" s="139">
        <f>'Program 10'!C28+'Program 90'!C28</f>
        <v>751559.65399999998</v>
      </c>
      <c r="D27" s="128">
        <f>'Program 10'!B28+'Program 90'!B28</f>
        <v>12.12</v>
      </c>
      <c r="F27" s="140">
        <f t="shared" si="0"/>
        <v>62009.872442244225</v>
      </c>
      <c r="G27" s="129"/>
    </row>
    <row r="28" spans="1:7" ht="18.600000000000001" customHeight="1" x14ac:dyDescent="0.3">
      <c r="A28" s="127" t="s">
        <v>27</v>
      </c>
      <c r="C28" s="139">
        <f>'Program 10'!C29+'Program 90'!C29</f>
        <v>4128203.5200000005</v>
      </c>
      <c r="D28" s="128">
        <f>'Program 10'!B29+'Program 90'!B29</f>
        <v>50.199999999999996</v>
      </c>
      <c r="F28" s="140">
        <f t="shared" si="0"/>
        <v>82235.129880478111</v>
      </c>
      <c r="G28" s="129"/>
    </row>
    <row r="29" spans="1:7" ht="18.600000000000001" customHeight="1" x14ac:dyDescent="0.3">
      <c r="A29" s="127" t="s">
        <v>28</v>
      </c>
      <c r="C29" s="139">
        <f>'Program 10'!C30+'Program 90'!C30</f>
        <v>9414562.0399999991</v>
      </c>
      <c r="D29" s="128">
        <f>'Program 10'!B30+'Program 90'!B30</f>
        <v>137</v>
      </c>
      <c r="F29" s="140">
        <f t="shared" si="0"/>
        <v>68719.430948905108</v>
      </c>
      <c r="G29" s="129"/>
    </row>
    <row r="30" spans="1:7" ht="18.600000000000001" customHeight="1" x14ac:dyDescent="0.3">
      <c r="A30" s="127" t="s">
        <v>13</v>
      </c>
      <c r="C30" s="139">
        <f>'Program 10'!C31+'Program 90'!C31</f>
        <v>575349.72</v>
      </c>
      <c r="D30" s="128">
        <f>'Program 10'!B31+'Program 90'!B31</f>
        <v>10</v>
      </c>
      <c r="F30" s="140">
        <f t="shared" si="0"/>
        <v>57534.971999999994</v>
      </c>
      <c r="G30" s="129"/>
    </row>
    <row r="31" spans="1:7" ht="18.600000000000001" customHeight="1" x14ac:dyDescent="0.3">
      <c r="A31" s="127" t="s">
        <v>14</v>
      </c>
      <c r="C31" s="139">
        <f>'Program 10'!C32+'Program 90'!C32</f>
        <v>821394.17906350386</v>
      </c>
      <c r="D31" s="128">
        <f>'Program 10'!B32+'Program 90'!B32</f>
        <v>11.399999999999999</v>
      </c>
      <c r="F31" s="140">
        <f t="shared" si="0"/>
        <v>72052.120970482807</v>
      </c>
      <c r="G31" s="129"/>
    </row>
    <row r="32" spans="1:7" ht="18.600000000000001" customHeight="1" x14ac:dyDescent="0.3">
      <c r="A32" s="127" t="s">
        <v>44</v>
      </c>
      <c r="C32" s="139">
        <f>'Program 10'!C33+'Program 90'!C33</f>
        <v>13601911.280000003</v>
      </c>
      <c r="D32" s="128">
        <f>'Program 10'!B33+'Program 90'!B33</f>
        <v>174.79999999999998</v>
      </c>
      <c r="F32" s="140">
        <f t="shared" si="0"/>
        <v>77814.1377574371</v>
      </c>
      <c r="G32" s="129"/>
    </row>
    <row r="33" spans="1:7" ht="18.600000000000001" customHeight="1" x14ac:dyDescent="0.3">
      <c r="A33" s="127" t="s">
        <v>29</v>
      </c>
      <c r="C33" s="139">
        <f>'Program 10'!C34+'Program 90'!C34</f>
        <v>4915468.0999999996</v>
      </c>
      <c r="D33" s="128">
        <f>'Program 10'!B34+'Program 90'!B34</f>
        <v>58.9</v>
      </c>
      <c r="F33" s="140">
        <f t="shared" si="0"/>
        <v>83454.466893039047</v>
      </c>
      <c r="G33" s="129"/>
    </row>
    <row r="34" spans="1:7" ht="18.600000000000001" customHeight="1" x14ac:dyDescent="0.3">
      <c r="A34" s="127" t="s">
        <v>30</v>
      </c>
      <c r="C34" s="139">
        <f>'Program 10'!C35+'Program 90'!C35</f>
        <v>2910210.5040120911</v>
      </c>
      <c r="D34" s="128">
        <f>'Program 10'!B35+'Program 90'!B35</f>
        <v>45.279999999999987</v>
      </c>
      <c r="F34" s="140">
        <f t="shared" si="0"/>
        <v>64271.4333924932</v>
      </c>
      <c r="G34" s="129"/>
    </row>
    <row r="35" spans="1:7" ht="18.600000000000001" customHeight="1" x14ac:dyDescent="0.3">
      <c r="A35" s="127" t="s">
        <v>55</v>
      </c>
      <c r="C35" s="139">
        <f>'Program 10'!C36+'Program 90'!C36</f>
        <v>115234484.71344194</v>
      </c>
      <c r="D35" s="128">
        <f>'Program 10'!B36+'Program 90'!B36</f>
        <v>1297.9235721153857</v>
      </c>
      <c r="F35" s="140">
        <f t="shared" si="0"/>
        <v>88783.72131390612</v>
      </c>
      <c r="G35" s="129"/>
    </row>
    <row r="36" spans="1:7" ht="18.600000000000001" customHeight="1" x14ac:dyDescent="0.3">
      <c r="A36" s="127" t="s">
        <v>31</v>
      </c>
      <c r="C36" s="139">
        <f>'Program 10'!C37+'Program 90'!C37</f>
        <v>13473118.262394242</v>
      </c>
      <c r="D36" s="128">
        <f>'Program 10'!B37+'Program 90'!B37</f>
        <v>153</v>
      </c>
      <c r="F36" s="140">
        <f t="shared" si="0"/>
        <v>88059.596486236871</v>
      </c>
      <c r="G36" s="129"/>
    </row>
    <row r="37" spans="1:7" ht="18.600000000000001" customHeight="1" x14ac:dyDescent="0.3">
      <c r="A37" s="127" t="s">
        <v>15</v>
      </c>
      <c r="C37" s="139">
        <f>'Program 10'!C38+'Program 90'!C38</f>
        <v>442804.46900000016</v>
      </c>
      <c r="D37" s="128">
        <f>'Program 10'!B38+'Program 90'!B38</f>
        <v>7.9999999999999991</v>
      </c>
      <c r="F37" s="140">
        <f t="shared" si="0"/>
        <v>55350.558625000027</v>
      </c>
      <c r="G37" s="129"/>
    </row>
    <row r="38" spans="1:7" ht="18.600000000000001" customHeight="1" x14ac:dyDescent="0.3">
      <c r="A38" s="127" t="s">
        <v>56</v>
      </c>
      <c r="C38" s="139">
        <f>'Program 10'!C39+'Program 90'!C39</f>
        <v>89464713.890200332</v>
      </c>
      <c r="D38" s="128">
        <f>'Program 10'!B39+'Program 90'!B39</f>
        <v>1024.06</v>
      </c>
      <c r="F38" s="140">
        <f t="shared" si="0"/>
        <v>87362.765746343313</v>
      </c>
      <c r="G38" s="129"/>
    </row>
    <row r="39" spans="1:7" ht="18.600000000000001" customHeight="1" x14ac:dyDescent="0.3">
      <c r="A39" s="127" t="s">
        <v>57</v>
      </c>
      <c r="C39" s="139">
        <f>'Program 10'!C40+'Program 90'!C40</f>
        <v>62870982.31803602</v>
      </c>
      <c r="D39" s="128">
        <f>'Program 10'!B40+'Program 90'!B40</f>
        <v>655.2399999999999</v>
      </c>
      <c r="F39" s="140">
        <f t="shared" si="0"/>
        <v>95951.074900854699</v>
      </c>
      <c r="G39" s="129"/>
    </row>
    <row r="40" spans="1:7" ht="18.600000000000001" customHeight="1" x14ac:dyDescent="0.3">
      <c r="A40" s="127" t="s">
        <v>16</v>
      </c>
      <c r="C40" s="139">
        <f>'Program 10'!C41+'Program 90'!C41</f>
        <v>2685286.1140000001</v>
      </c>
      <c r="D40" s="128">
        <f>'Program 10'!B41+'Program 90'!B41</f>
        <v>32.299999999999997</v>
      </c>
      <c r="F40" s="140">
        <f t="shared" si="0"/>
        <v>83135.793003095983</v>
      </c>
      <c r="G40" s="129"/>
    </row>
    <row r="41" spans="1:7" ht="18.600000000000001" customHeight="1" x14ac:dyDescent="0.3">
      <c r="A41" s="127" t="s">
        <v>58</v>
      </c>
      <c r="C41" s="139">
        <f>'Program 10'!C42+'Program 90'!C42</f>
        <v>80363688.29008007</v>
      </c>
      <c r="D41" s="128">
        <f>'Program 10'!B42+'Program 90'!B42</f>
        <v>1010.68</v>
      </c>
      <c r="F41" s="140">
        <f t="shared" si="0"/>
        <v>79514.473710848222</v>
      </c>
      <c r="G41" s="129"/>
    </row>
    <row r="42" spans="1:7" ht="18.600000000000001" customHeight="1" x14ac:dyDescent="0.3">
      <c r="A42" s="127" t="s">
        <v>59</v>
      </c>
      <c r="C42" s="139">
        <f>'Program 10'!C43+'Program 90'!C43</f>
        <v>88584851.389999956</v>
      </c>
      <c r="D42" s="128">
        <f>'Program 10'!B43+'Program 90'!B43</f>
        <v>1084.1100000000004</v>
      </c>
      <c r="F42" s="140">
        <f t="shared" si="0"/>
        <v>81712.050797428237</v>
      </c>
      <c r="G42" s="129"/>
    </row>
    <row r="43" spans="1:7" ht="18.600000000000001" customHeight="1" x14ac:dyDescent="0.3">
      <c r="A43" s="127" t="s">
        <v>60</v>
      </c>
      <c r="C43" s="139">
        <f>'Program 10'!C44+'Program 90'!C44</f>
        <v>39981531.496000029</v>
      </c>
      <c r="D43" s="128">
        <f>'Program 10'!B44+'Program 90'!B44</f>
        <v>373.8</v>
      </c>
      <c r="F43" s="140">
        <f t="shared" si="0"/>
        <v>106959.68832530772</v>
      </c>
      <c r="G43" s="129"/>
    </row>
    <row r="44" spans="1:7" ht="18.600000000000001" customHeight="1" x14ac:dyDescent="0.3">
      <c r="A44" s="127" t="s">
        <v>45</v>
      </c>
      <c r="C44" s="139">
        <f>'Program 10'!C45+'Program 90'!C45</f>
        <v>24855502.343000017</v>
      </c>
      <c r="D44" s="128">
        <f>'Program 10'!B45+'Program 90'!B45</f>
        <v>320.59999999999985</v>
      </c>
      <c r="F44" s="140">
        <f t="shared" si="0"/>
        <v>77528.07967248917</v>
      </c>
      <c r="G44" s="129"/>
    </row>
    <row r="45" spans="1:7" ht="18.600000000000001" customHeight="1" x14ac:dyDescent="0.3">
      <c r="A45" s="127" t="s">
        <v>32</v>
      </c>
      <c r="C45" s="139">
        <f>'Program 10'!C46+'Program 90'!C46</f>
        <v>11329678</v>
      </c>
      <c r="D45" s="128">
        <f>'Program 10'!B46+'Program 90'!B46</f>
        <v>131.19999999999999</v>
      </c>
      <c r="F45" s="140">
        <f t="shared" si="0"/>
        <v>86354.253048780491</v>
      </c>
      <c r="G45" s="129"/>
    </row>
    <row r="46" spans="1:7" ht="18.600000000000001" customHeight="1" x14ac:dyDescent="0.3">
      <c r="A46" s="127" t="s">
        <v>46</v>
      </c>
      <c r="C46" s="139">
        <f>'Program 10'!C47+'Program 90'!C47</f>
        <v>25215528</v>
      </c>
      <c r="D46" s="128">
        <f>'Program 10'!B47+'Program 90'!B47</f>
        <v>262</v>
      </c>
      <c r="F46" s="140">
        <f t="shared" si="0"/>
        <v>96242.473282442748</v>
      </c>
      <c r="G46" s="129"/>
    </row>
    <row r="47" spans="1:7" ht="18.600000000000001" customHeight="1" x14ac:dyDescent="0.3">
      <c r="A47" s="127" t="s">
        <v>47</v>
      </c>
      <c r="C47" s="139">
        <f>'Program 10'!C48+'Program 90'!C48</f>
        <v>16946995.849999994</v>
      </c>
      <c r="D47" s="128">
        <f>'Program 10'!B48+'Program 90'!B48</f>
        <v>210.22500000000002</v>
      </c>
      <c r="F47" s="140">
        <f t="shared" si="0"/>
        <v>80613.60851468661</v>
      </c>
      <c r="G47" s="129"/>
    </row>
    <row r="48" spans="1:7" ht="18.600000000000001" customHeight="1" x14ac:dyDescent="0.3">
      <c r="A48" s="127" t="s">
        <v>61</v>
      </c>
      <c r="C48" s="139">
        <f>'Program 10'!C49+'Program 90'!C49</f>
        <v>48959826.383204021</v>
      </c>
      <c r="D48" s="128">
        <f>'Program 10'!B49+'Program 90'!B49</f>
        <v>473.44999999999993</v>
      </c>
      <c r="F48" s="140">
        <f t="shared" si="0"/>
        <v>103410.76435358333</v>
      </c>
      <c r="G48" s="129"/>
    </row>
    <row r="49" spans="1:7" ht="18.600000000000001" customHeight="1" x14ac:dyDescent="0.3">
      <c r="A49" s="127" t="s">
        <v>33</v>
      </c>
      <c r="C49" s="139">
        <f>'Program 10'!C50+'Program 90'!C50</f>
        <v>10514793.135754569</v>
      </c>
      <c r="D49" s="128">
        <f>'Program 10'!B50+'Program 90'!B50</f>
        <v>123.35</v>
      </c>
      <c r="F49" s="140">
        <f t="shared" si="0"/>
        <v>85243.560079080416</v>
      </c>
      <c r="G49" s="129"/>
    </row>
    <row r="50" spans="1:7" ht="18.600000000000001" customHeight="1" x14ac:dyDescent="0.3">
      <c r="A50" s="127" t="s">
        <v>34</v>
      </c>
      <c r="C50" s="139">
        <f>'Program 10'!C51+'Program 90'!C51</f>
        <v>9643753.2399999965</v>
      </c>
      <c r="D50" s="128">
        <f>'Program 10'!B51+'Program 90'!B51</f>
        <v>134.19999999999999</v>
      </c>
      <c r="F50" s="140">
        <f t="shared" si="0"/>
        <v>71861.05245901637</v>
      </c>
      <c r="G50" s="129"/>
    </row>
    <row r="51" spans="1:7" ht="18.600000000000001" customHeight="1" x14ac:dyDescent="0.3">
      <c r="A51" s="127" t="s">
        <v>17</v>
      </c>
      <c r="C51" s="139">
        <f>'Program 10'!C52+'Program 90'!C52</f>
        <v>200438.20000000004</v>
      </c>
      <c r="D51" s="128">
        <f>'Program 10'!B52+'Program 90'!B52</f>
        <v>3.9999999999999991</v>
      </c>
      <c r="F51" s="140">
        <f t="shared" si="0"/>
        <v>50109.550000000025</v>
      </c>
      <c r="G51" s="129"/>
    </row>
    <row r="52" spans="1:7" ht="18.600000000000001" customHeight="1" x14ac:dyDescent="0.3">
      <c r="A52" s="127" t="s">
        <v>35</v>
      </c>
      <c r="C52" s="139">
        <f>'Program 10'!C53+'Program 90'!C53</f>
        <v>1994800.0000000002</v>
      </c>
      <c r="D52" s="128">
        <f>'Program 10'!B53+'Program 90'!B53</f>
        <v>27.000000000000018</v>
      </c>
      <c r="F52" s="140">
        <f t="shared" si="0"/>
        <v>73881.481481481445</v>
      </c>
      <c r="G52" s="129"/>
    </row>
    <row r="53" spans="1:7" ht="18.600000000000001" customHeight="1" x14ac:dyDescent="0.3">
      <c r="A53" s="127" t="s">
        <v>48</v>
      </c>
      <c r="C53" s="139">
        <f>'Program 10'!C54+'Program 90'!C54</f>
        <v>15077093.660421366</v>
      </c>
      <c r="D53" s="128">
        <f>'Program 10'!B54+'Program 90'!B54</f>
        <v>189.5</v>
      </c>
      <c r="F53" s="140">
        <f t="shared" si="0"/>
        <v>79562.499527289532</v>
      </c>
      <c r="G53" s="129"/>
    </row>
    <row r="54" spans="1:7" ht="18.600000000000001" customHeight="1" x14ac:dyDescent="0.3">
      <c r="A54" s="127" t="s">
        <v>49</v>
      </c>
      <c r="C54" s="139">
        <f>'Program 10'!C55+'Program 90'!C55</f>
        <v>13413252.940752408</v>
      </c>
      <c r="D54" s="128">
        <f>'Program 10'!B55+'Program 90'!B55</f>
        <v>154.5</v>
      </c>
      <c r="F54" s="140">
        <f t="shared" si="0"/>
        <v>86817.171137556041</v>
      </c>
      <c r="G54" s="129"/>
    </row>
    <row r="55" spans="1:7" ht="18.600000000000001" customHeight="1" x14ac:dyDescent="0.3">
      <c r="A55" s="127" t="s">
        <v>50</v>
      </c>
      <c r="C55" s="139">
        <f>'Program 10'!C56+'Program 90'!C56</f>
        <v>18011966.059741437</v>
      </c>
      <c r="D55" s="128">
        <f>'Program 10'!B56+'Program 90'!B56</f>
        <v>234.24977800000042</v>
      </c>
      <c r="F55" s="140">
        <f t="shared" si="0"/>
        <v>76892.137160281127</v>
      </c>
      <c r="G55" s="129"/>
    </row>
    <row r="56" spans="1:7" ht="18.600000000000001" customHeight="1" x14ac:dyDescent="0.3">
      <c r="A56" s="127" t="s">
        <v>36</v>
      </c>
      <c r="C56" s="139">
        <f>'Program 10'!C57+'Program 90'!C57</f>
        <v>3578454.4110000012</v>
      </c>
      <c r="D56" s="128">
        <f>'Program 10'!B57+'Program 90'!B57</f>
        <v>52.3</v>
      </c>
      <c r="F56" s="140">
        <f t="shared" si="0"/>
        <v>68421.69045889104</v>
      </c>
      <c r="G56" s="129"/>
    </row>
    <row r="57" spans="1:7" ht="18.600000000000001" customHeight="1" x14ac:dyDescent="0.3">
      <c r="A57" s="127" t="s">
        <v>37</v>
      </c>
      <c r="C57" s="139">
        <f>'Program 10'!C58+'Program 90'!C58</f>
        <v>2808499.1620000005</v>
      </c>
      <c r="D57" s="128">
        <f>'Program 10'!B58+'Program 90'!B58</f>
        <v>41.8</v>
      </c>
      <c r="F57" s="140">
        <f t="shared" si="0"/>
        <v>67188.97516746413</v>
      </c>
      <c r="G57" s="129"/>
    </row>
    <row r="58" spans="1:7" ht="18.600000000000001" customHeight="1" x14ac:dyDescent="0.3">
      <c r="A58" s="127" t="s">
        <v>18</v>
      </c>
      <c r="C58" s="139">
        <f>'Program 10'!C59+'Program 90'!C59</f>
        <v>599750.96100000001</v>
      </c>
      <c r="D58" s="128">
        <f>'Program 10'!B59+'Program 90'!B59</f>
        <v>7.96</v>
      </c>
      <c r="F58" s="140">
        <f t="shared" si="0"/>
        <v>75345.598115577886</v>
      </c>
      <c r="G58" s="129"/>
    </row>
    <row r="59" spans="1:7" ht="18.600000000000001" customHeight="1" x14ac:dyDescent="0.3">
      <c r="A59" s="127" t="s">
        <v>51</v>
      </c>
      <c r="C59" s="139">
        <f>'Program 10'!C60+'Program 90'!C60</f>
        <v>16665419.192000013</v>
      </c>
      <c r="D59" s="128">
        <f>'Program 10'!B60+'Program 90'!B60</f>
        <v>242</v>
      </c>
      <c r="F59" s="140">
        <f t="shared" si="0"/>
        <v>68865.368561983531</v>
      </c>
      <c r="G59" s="129"/>
    </row>
    <row r="60" spans="1:7" ht="18.600000000000001" customHeight="1" x14ac:dyDescent="0.3">
      <c r="A60" s="127" t="s">
        <v>38</v>
      </c>
      <c r="C60" s="139">
        <f>'Program 10'!C61+'Program 90'!C61</f>
        <v>2572951.61</v>
      </c>
      <c r="D60" s="128">
        <f>'Program 10'!B61+'Program 90'!B61</f>
        <v>39</v>
      </c>
      <c r="F60" s="140">
        <f t="shared" si="0"/>
        <v>65973.118205128209</v>
      </c>
      <c r="G60" s="129"/>
    </row>
    <row r="61" spans="1:7" ht="18.600000000000001" customHeight="1" x14ac:dyDescent="0.3">
      <c r="A61" s="127" t="s">
        <v>52</v>
      </c>
      <c r="C61" s="139">
        <f>'Program 10'!C62+'Program 90'!C62</f>
        <v>29077391.564999983</v>
      </c>
      <c r="D61" s="128">
        <f>'Program 10'!B62+'Program 90'!B62</f>
        <v>329.23999999999995</v>
      </c>
      <c r="F61" s="140">
        <f t="shared" si="0"/>
        <v>88316.703817883565</v>
      </c>
      <c r="G61" s="129"/>
    </row>
    <row r="62" spans="1:7" ht="18.600000000000001" customHeight="1" x14ac:dyDescent="0.3">
      <c r="A62" s="127" t="s">
        <v>39</v>
      </c>
      <c r="C62" s="139">
        <f>'Program 10'!C63+'Program 90'!C63</f>
        <v>8299440.4449999984</v>
      </c>
      <c r="D62" s="128">
        <f>'Program 10'!B63+'Program 90'!B63</f>
        <v>107</v>
      </c>
      <c r="F62" s="140">
        <f t="shared" si="0"/>
        <v>77564.863971962608</v>
      </c>
      <c r="G62" s="129"/>
    </row>
    <row r="63" spans="1:7" ht="18.600000000000001" customHeight="1" x14ac:dyDescent="0.3">
      <c r="A63" s="127" t="s">
        <v>40</v>
      </c>
      <c r="C63" s="139">
        <f>'Program 10'!C64+'Program 90'!C64</f>
        <v>3510363.5700000012</v>
      </c>
      <c r="D63" s="128">
        <f>'Program 10'!B64+'Program 90'!B64</f>
        <v>48.750000000000014</v>
      </c>
      <c r="F63" s="140">
        <f t="shared" si="0"/>
        <v>72007.457846153848</v>
      </c>
      <c r="G63" s="129"/>
    </row>
    <row r="64" spans="1:7" ht="18.600000000000001" customHeight="1" thickBot="1" x14ac:dyDescent="0.35">
      <c r="A64" s="141" t="s">
        <v>174</v>
      </c>
      <c r="C64" s="142">
        <f>SUM(C6:C63)</f>
        <v>1351435408.9197354</v>
      </c>
      <c r="D64" s="143">
        <f>SUM(D6:D63)</f>
        <v>16000.7179655</v>
      </c>
      <c r="F64" s="142">
        <f>C64/D64</f>
        <v>84460.923055680207</v>
      </c>
    </row>
    <row r="65" spans="1:8" ht="18.600000000000001" customHeight="1" thickTop="1" x14ac:dyDescent="0.3">
      <c r="C65" s="130"/>
      <c r="D65" s="130"/>
      <c r="F65" s="130"/>
    </row>
    <row r="66" spans="1:8" ht="18.600000000000001" customHeight="1" x14ac:dyDescent="0.3">
      <c r="A66" s="294" t="s">
        <v>80</v>
      </c>
      <c r="B66" s="294"/>
      <c r="C66" s="294"/>
      <c r="D66" s="294"/>
      <c r="E66" s="135"/>
      <c r="F66" s="154">
        <f>AVERAGE(F6:F63)</f>
        <v>75666.657320209983</v>
      </c>
    </row>
    <row r="67" spans="1:8" ht="18.600000000000001" customHeight="1" x14ac:dyDescent="0.3">
      <c r="A67" s="135"/>
      <c r="C67" s="135"/>
      <c r="D67" s="135"/>
      <c r="F67" s="131"/>
    </row>
    <row r="68" spans="1:8" ht="18.600000000000001" customHeight="1" x14ac:dyDescent="0.3">
      <c r="A68" s="136" t="s">
        <v>237</v>
      </c>
      <c r="F68" s="132"/>
    </row>
    <row r="69" spans="1:8" ht="53.7" customHeight="1" x14ac:dyDescent="0.3">
      <c r="A69" s="297" t="s">
        <v>172</v>
      </c>
      <c r="B69" s="297"/>
      <c r="C69" s="297"/>
      <c r="D69" s="297"/>
      <c r="E69" s="297"/>
      <c r="F69" s="297"/>
      <c r="G69" s="297"/>
      <c r="H69" s="297"/>
    </row>
    <row r="70" spans="1:8" x14ac:dyDescent="0.3">
      <c r="C70" s="133"/>
      <c r="F70" s="134"/>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L8" sqref="L8"/>
    </sheetView>
  </sheetViews>
  <sheetFormatPr defaultColWidth="9.21875" defaultRowHeight="14.4" x14ac:dyDescent="0.3"/>
  <cols>
    <col min="1" max="1" width="8.21875" style="204" customWidth="1"/>
    <col min="2" max="2" width="14.5546875" style="204" customWidth="1"/>
    <col min="3" max="3" width="14" style="204" customWidth="1"/>
    <col min="4" max="4" width="14.21875" style="204" customWidth="1"/>
    <col min="5" max="5" width="12.5546875" style="204" customWidth="1"/>
    <col min="6" max="6" width="14.21875" style="222" customWidth="1"/>
    <col min="7" max="7" width="16.21875" style="222" customWidth="1"/>
    <col min="8" max="8" width="13.21875" style="223" customWidth="1"/>
    <col min="9" max="10" width="0.77734375" style="204" customWidth="1"/>
    <col min="11" max="11" width="8.77734375" style="205" bestFit="1" customWidth="1"/>
    <col min="12" max="16384" width="9.21875" style="204"/>
  </cols>
  <sheetData>
    <row r="1" spans="1:11" ht="18" x14ac:dyDescent="0.3">
      <c r="A1" s="216" t="s">
        <v>184</v>
      </c>
      <c r="B1" s="137"/>
      <c r="C1" s="137"/>
      <c r="D1" s="137"/>
      <c r="E1" s="137"/>
      <c r="F1" s="219"/>
      <c r="G1" s="219"/>
      <c r="H1" s="137"/>
    </row>
    <row r="2" spans="1:11" x14ac:dyDescent="0.3">
      <c r="A2" s="49"/>
      <c r="B2" s="137"/>
      <c r="C2" s="137"/>
      <c r="D2" s="137"/>
      <c r="E2" s="137"/>
      <c r="F2" s="219"/>
      <c r="G2" s="219"/>
      <c r="H2" s="137"/>
    </row>
    <row r="3" spans="1:11" x14ac:dyDescent="0.3">
      <c r="A3" s="206"/>
      <c r="B3" s="206"/>
      <c r="C3" s="206"/>
      <c r="D3" s="206"/>
      <c r="E3" s="206"/>
      <c r="F3" s="220"/>
      <c r="G3" s="220"/>
      <c r="H3" s="206"/>
    </row>
    <row r="4" spans="1:11" ht="69" x14ac:dyDescent="0.3">
      <c r="A4" s="298" t="s">
        <v>68</v>
      </c>
      <c r="B4" s="298" t="s">
        <v>63</v>
      </c>
      <c r="C4" s="225" t="s">
        <v>204</v>
      </c>
      <c r="D4" s="207" t="str">
        <f>"FTE Dollar Factor Applied ("&amp;TEXT('AVG RAS salary'!F66,"$##,###")&amp;" * BLS)"</f>
        <v>FTE Dollar Factor Applied ($75,667 * BLS)</v>
      </c>
      <c r="E4" s="207" t="s">
        <v>205</v>
      </c>
      <c r="F4" s="207" t="s">
        <v>98</v>
      </c>
      <c r="G4" s="225" t="str">
        <f>"Has FTE Need &lt;50 AND FTE Dollar Factor is Less Than Median of "&amp;TEXT(D67,"$##,###")&amp;"?"</f>
        <v>Has FTE Need &lt;50 AND FTE Dollar Factor is Less Than Median of $58,058?</v>
      </c>
      <c r="H4" s="74" t="s">
        <v>69</v>
      </c>
      <c r="K4" s="205" t="s">
        <v>81</v>
      </c>
    </row>
    <row r="5" spans="1:11" x14ac:dyDescent="0.3">
      <c r="A5" s="299"/>
      <c r="B5" s="299"/>
      <c r="C5" s="78" t="s">
        <v>65</v>
      </c>
      <c r="D5" s="78" t="s">
        <v>1</v>
      </c>
      <c r="E5" s="78" t="s">
        <v>66</v>
      </c>
      <c r="F5" s="78" t="s">
        <v>2</v>
      </c>
      <c r="G5" s="78" t="s">
        <v>3</v>
      </c>
      <c r="H5" s="78" t="s">
        <v>93</v>
      </c>
    </row>
    <row r="6" spans="1:11" x14ac:dyDescent="0.3">
      <c r="A6" s="217">
        <v>4</v>
      </c>
      <c r="B6" s="208" t="s">
        <v>53</v>
      </c>
      <c r="C6" s="155">
        <f>VLOOKUP(B6,BLS!$B$7:$I$64,8,FALSE)</f>
        <v>1.4990849494934082</v>
      </c>
      <c r="D6" s="139">
        <f>C6*'AVG RAS salary'!$F$66</f>
        <v>113430.747167202</v>
      </c>
      <c r="E6" s="218">
        <f>VLOOKUP(B6,'WF Need'!B7:F64,5,FALSE)</f>
        <v>506</v>
      </c>
      <c r="F6" s="221" t="str">
        <f t="shared" ref="F6:F63" si="0">IF(E6&lt;50,"Yes","")</f>
        <v/>
      </c>
      <c r="G6" s="221" t="str">
        <f t="shared" ref="G6:G63" si="1">IF(F6="Yes",(IF(D6&lt;$D$67,"Yes","")),"")</f>
        <v/>
      </c>
      <c r="H6" s="165">
        <f>IF(F6="Yes", IF(G6="Yes",$D$67,D6),D6)</f>
        <v>113430.747167202</v>
      </c>
      <c r="K6" s="209" t="str">
        <f>IF(F6="Yes",D6,"")</f>
        <v/>
      </c>
    </row>
    <row r="7" spans="1:11" x14ac:dyDescent="0.3">
      <c r="A7" s="217">
        <v>1</v>
      </c>
      <c r="B7" s="208" t="s">
        <v>4</v>
      </c>
      <c r="C7" s="155">
        <f>VLOOKUP(B7,BLS!$B$7:$I$64,8,FALSE)</f>
        <v>0.76341408491134644</v>
      </c>
      <c r="D7" s="139">
        <f>C7*'AVG RAS salary'!$F$66</f>
        <v>57764.991956408536</v>
      </c>
      <c r="E7" s="218">
        <f>VLOOKUP(B7,'WF Need'!B8:F65,5,FALSE)</f>
        <v>3</v>
      </c>
      <c r="F7" s="221" t="str">
        <f t="shared" si="0"/>
        <v>Yes</v>
      </c>
      <c r="G7" s="221" t="str">
        <f t="shared" si="1"/>
        <v>Yes</v>
      </c>
      <c r="H7" s="226">
        <f>IF(F7="Yes", IF(G7="Yes",$D$67,D7),D7)</f>
        <v>58058.095565449185</v>
      </c>
      <c r="K7" s="209">
        <f>IF(F7="Yes",D7,"")</f>
        <v>57764.991956408536</v>
      </c>
    </row>
    <row r="8" spans="1:11" x14ac:dyDescent="0.3">
      <c r="A8" s="217">
        <v>1</v>
      </c>
      <c r="B8" s="208" t="s">
        <v>5</v>
      </c>
      <c r="C8" s="155">
        <f>VLOOKUP(B8,BLS!$B$7:$I$64,8,FALSE)</f>
        <v>0.9692113995552063</v>
      </c>
      <c r="D8" s="139">
        <f>C8*'AVG RAS salary'!$F$66</f>
        <v>73336.986840984915</v>
      </c>
      <c r="E8" s="218">
        <f>VLOOKUP(B8,'WF Need'!B9:F66,5,FALSE)</f>
        <v>31</v>
      </c>
      <c r="F8" s="221" t="str">
        <f t="shared" si="0"/>
        <v>Yes</v>
      </c>
      <c r="G8" s="221" t="str">
        <f t="shared" si="1"/>
        <v/>
      </c>
      <c r="H8" s="226">
        <f t="shared" ref="H8:H63" si="2">IF(F8="Yes", IF(G8="Yes",$D$67,D8),D8)</f>
        <v>73336.986840984915</v>
      </c>
      <c r="K8" s="209">
        <f t="shared" ref="K8:K62" si="3">IF(F8="Yes",D8,"")</f>
        <v>73336.986840984915</v>
      </c>
    </row>
    <row r="9" spans="1:11" x14ac:dyDescent="0.3">
      <c r="A9" s="217">
        <v>2</v>
      </c>
      <c r="B9" s="208" t="s">
        <v>19</v>
      </c>
      <c r="C9" s="155">
        <f>VLOOKUP(B9,BLS!$B$7:$I$64,8,FALSE)</f>
        <v>0.88099724054336548</v>
      </c>
      <c r="D9" s="139">
        <f>C9*'AVG RAS salary'!$F$66</f>
        <v>66662.116300245441</v>
      </c>
      <c r="E9" s="218">
        <f>VLOOKUP(B9,'WF Need'!B10:F67,5,FALSE)</f>
        <v>120</v>
      </c>
      <c r="F9" s="221" t="str">
        <f t="shared" si="0"/>
        <v/>
      </c>
      <c r="G9" s="221" t="str">
        <f t="shared" si="1"/>
        <v/>
      </c>
      <c r="H9" s="226">
        <f t="shared" si="2"/>
        <v>66662.116300245441</v>
      </c>
      <c r="K9" s="209" t="str">
        <f t="shared" si="3"/>
        <v/>
      </c>
    </row>
    <row r="10" spans="1:11" x14ac:dyDescent="0.3">
      <c r="A10" s="217">
        <v>1</v>
      </c>
      <c r="B10" s="208" t="s">
        <v>6</v>
      </c>
      <c r="C10" s="155">
        <f>VLOOKUP(B10,BLS!$B$7:$I$64,8,FALSE)</f>
        <v>0.83960831165313721</v>
      </c>
      <c r="D10" s="139">
        <f>C10*'AVG RAS salary'!$F$66</f>
        <v>63530.354401058001</v>
      </c>
      <c r="E10" s="218">
        <f>VLOOKUP(B10,'WF Need'!B11:F68,5,FALSE)</f>
        <v>27</v>
      </c>
      <c r="F10" s="221" t="str">
        <f t="shared" si="0"/>
        <v>Yes</v>
      </c>
      <c r="G10" s="221" t="str">
        <f t="shared" si="1"/>
        <v/>
      </c>
      <c r="H10" s="226">
        <f t="shared" si="2"/>
        <v>63530.354401058001</v>
      </c>
      <c r="K10" s="209">
        <f t="shared" si="3"/>
        <v>63530.354401058001</v>
      </c>
    </row>
    <row r="11" spans="1:11" x14ac:dyDescent="0.3">
      <c r="A11" s="217">
        <v>1</v>
      </c>
      <c r="B11" s="208" t="s">
        <v>7</v>
      </c>
      <c r="C11" s="155">
        <f>VLOOKUP(B11,BLS!$B$7:$I$64,8,FALSE)</f>
        <v>0.73153221607208252</v>
      </c>
      <c r="D11" s="139">
        <f>C11*'AVG RAS salary'!$F$66</f>
        <v>55352.597512220076</v>
      </c>
      <c r="E11" s="218">
        <f>VLOOKUP(B11,'WF Need'!B12:F70,5,FALSE)</f>
        <v>18</v>
      </c>
      <c r="F11" s="221" t="str">
        <f t="shared" si="0"/>
        <v>Yes</v>
      </c>
      <c r="G11" s="221" t="str">
        <f t="shared" si="1"/>
        <v>Yes</v>
      </c>
      <c r="H11" s="226">
        <f>IF(F11="Yes", IF(G11="Yes",$D$67,D11),D11)</f>
        <v>58058.095565449185</v>
      </c>
      <c r="K11" s="209">
        <f t="shared" si="3"/>
        <v>55352.597512220076</v>
      </c>
    </row>
    <row r="12" spans="1:11" x14ac:dyDescent="0.3">
      <c r="A12" s="217">
        <v>3</v>
      </c>
      <c r="B12" s="208" t="s">
        <v>41</v>
      </c>
      <c r="C12" s="155">
        <f>VLOOKUP(B12,BLS!$B$7:$I$64,8,FALSE)</f>
        <v>1.3397237062454224</v>
      </c>
      <c r="D12" s="139">
        <f>C12*'AVG RAS salary'!$F$66</f>
        <v>101372.41458423404</v>
      </c>
      <c r="E12" s="218">
        <f>VLOOKUP(B12,'WF Need'!B13:F72,5,FALSE)</f>
        <v>332</v>
      </c>
      <c r="F12" s="221" t="str">
        <f t="shared" si="0"/>
        <v/>
      </c>
      <c r="G12" s="221" t="str">
        <f t="shared" si="1"/>
        <v/>
      </c>
      <c r="H12" s="226">
        <f t="shared" si="2"/>
        <v>101372.41458423404</v>
      </c>
      <c r="K12" s="209" t="str">
        <f t="shared" si="3"/>
        <v/>
      </c>
    </row>
    <row r="13" spans="1:11" x14ac:dyDescent="0.3">
      <c r="A13" s="217">
        <v>1</v>
      </c>
      <c r="B13" s="208" t="s">
        <v>8</v>
      </c>
      <c r="C13" s="155">
        <f>VLOOKUP(B13,BLS!$B$7:$I$64,8,FALSE)</f>
        <v>0.75030732154846191</v>
      </c>
      <c r="D13" s="139">
        <f>C13*'AVG RAS salary'!$F$66</f>
        <v>56773.246984452067</v>
      </c>
      <c r="E13" s="218">
        <f>VLOOKUP(B13,'WF Need'!B14:F72,5,FALSE)</f>
        <v>27</v>
      </c>
      <c r="F13" s="221" t="str">
        <f t="shared" si="0"/>
        <v>Yes</v>
      </c>
      <c r="G13" s="221" t="str">
        <f t="shared" si="1"/>
        <v>Yes</v>
      </c>
      <c r="H13" s="226">
        <f t="shared" si="2"/>
        <v>58058.095565449185</v>
      </c>
      <c r="K13" s="209">
        <f t="shared" si="3"/>
        <v>56773.246984452067</v>
      </c>
    </row>
    <row r="14" spans="1:11" x14ac:dyDescent="0.3">
      <c r="A14" s="217">
        <v>2</v>
      </c>
      <c r="B14" s="208" t="s">
        <v>20</v>
      </c>
      <c r="C14" s="155">
        <f>VLOOKUP(B14,BLS!$B$7:$I$64,8,FALSE)</f>
        <v>1.1001462936401367</v>
      </c>
      <c r="D14" s="139">
        <f>C14*'AVG RAS salary'!$F$66</f>
        <v>83244.392602967331</v>
      </c>
      <c r="E14" s="218">
        <f>VLOOKUP(B14,'WF Need'!B15:F72,5,FALSE)</f>
        <v>72</v>
      </c>
      <c r="F14" s="221" t="str">
        <f t="shared" si="0"/>
        <v/>
      </c>
      <c r="G14" s="221" t="str">
        <f t="shared" si="1"/>
        <v/>
      </c>
      <c r="H14" s="226">
        <f t="shared" si="2"/>
        <v>83244.392602967331</v>
      </c>
      <c r="K14" s="209" t="str">
        <f t="shared" si="3"/>
        <v/>
      </c>
    </row>
    <row r="15" spans="1:11" x14ac:dyDescent="0.3">
      <c r="A15" s="217">
        <v>3</v>
      </c>
      <c r="B15" s="208" t="s">
        <v>42</v>
      </c>
      <c r="C15" s="155">
        <f>VLOOKUP(B15,BLS!$B$7:$I$64,8,FALSE)</f>
        <v>0.92633306980133057</v>
      </c>
      <c r="D15" s="139">
        <f>C15*'AVG RAS salary'!$F$66</f>
        <v>70092.526957035428</v>
      </c>
      <c r="E15" s="218">
        <f>VLOOKUP(B15,'WF Need'!B16:F73,5,FALSE)</f>
        <v>470</v>
      </c>
      <c r="F15" s="221" t="str">
        <f t="shared" si="0"/>
        <v/>
      </c>
      <c r="G15" s="221" t="str">
        <f t="shared" si="1"/>
        <v/>
      </c>
      <c r="H15" s="226">
        <f t="shared" si="2"/>
        <v>70092.526957035428</v>
      </c>
      <c r="K15" s="209" t="str">
        <f t="shared" si="3"/>
        <v/>
      </c>
    </row>
    <row r="16" spans="1:11" x14ac:dyDescent="0.3">
      <c r="A16" s="217">
        <v>1</v>
      </c>
      <c r="B16" s="208" t="s">
        <v>9</v>
      </c>
      <c r="C16" s="155">
        <f>VLOOKUP(B16,BLS!$B$7:$I$64,8,FALSE)</f>
        <v>0.76000344753265381</v>
      </c>
      <c r="D16" s="139">
        <f>C16*'AVG RAS salary'!$F$66</f>
        <v>57506.920426631499</v>
      </c>
      <c r="E16" s="218">
        <f>VLOOKUP(B16,'WF Need'!B17:F74,5,FALSE)</f>
        <v>22</v>
      </c>
      <c r="F16" s="221" t="str">
        <f t="shared" si="0"/>
        <v>Yes</v>
      </c>
      <c r="G16" s="221" t="str">
        <f t="shared" si="1"/>
        <v>Yes</v>
      </c>
      <c r="H16" s="226">
        <f t="shared" si="2"/>
        <v>58058.095565449185</v>
      </c>
      <c r="K16" s="209">
        <f t="shared" si="3"/>
        <v>57506.920426631499</v>
      </c>
    </row>
    <row r="17" spans="1:11" x14ac:dyDescent="0.3">
      <c r="A17" s="217">
        <v>2</v>
      </c>
      <c r="B17" s="208" t="s">
        <v>21</v>
      </c>
      <c r="C17" s="155">
        <f>VLOOKUP(B17,BLS!$B$7:$I$64,8,FALSE)</f>
        <v>0.75199234485626221</v>
      </c>
      <c r="D17" s="139">
        <f>C17*'AVG RAS salary'!$F$66</f>
        <v>56900.747065659962</v>
      </c>
      <c r="E17" s="218">
        <f>VLOOKUP(B17,'WF Need'!B18:F75,5,FALSE)</f>
        <v>82</v>
      </c>
      <c r="F17" s="221" t="str">
        <f t="shared" si="0"/>
        <v/>
      </c>
      <c r="G17" s="221" t="str">
        <f t="shared" si="1"/>
        <v/>
      </c>
      <c r="H17" s="226">
        <f t="shared" si="2"/>
        <v>56900.747065659962</v>
      </c>
      <c r="K17" s="209" t="str">
        <f t="shared" si="3"/>
        <v/>
      </c>
    </row>
    <row r="18" spans="1:11" x14ac:dyDescent="0.3">
      <c r="A18" s="217">
        <v>2</v>
      </c>
      <c r="B18" s="208" t="s">
        <v>22</v>
      </c>
      <c r="C18" s="155">
        <f>VLOOKUP(B18,BLS!$B$7:$I$64,8,FALSE)</f>
        <v>0.6944887638092041</v>
      </c>
      <c r="D18" s="139">
        <f>C18*'AVG RAS salary'!$F$66</f>
        <v>52549.643303887293</v>
      </c>
      <c r="E18" s="218">
        <f>VLOOKUP(B18,'WF Need'!B19:F76,5,FALSE)</f>
        <v>91</v>
      </c>
      <c r="F18" s="221" t="str">
        <f t="shared" si="0"/>
        <v/>
      </c>
      <c r="G18" s="221" t="str">
        <f t="shared" si="1"/>
        <v/>
      </c>
      <c r="H18" s="226">
        <f t="shared" si="2"/>
        <v>52549.643303887293</v>
      </c>
      <c r="K18" s="209" t="str">
        <f t="shared" si="3"/>
        <v/>
      </c>
    </row>
    <row r="19" spans="1:11" x14ac:dyDescent="0.3">
      <c r="A19" s="217">
        <v>1</v>
      </c>
      <c r="B19" s="208" t="s">
        <v>10</v>
      </c>
      <c r="C19" s="155">
        <f>VLOOKUP(B19,BLS!$B$7:$I$64,8,FALSE)</f>
        <v>0.77116131782531738</v>
      </c>
      <c r="D19" s="139">
        <f>C19*'AVG RAS salary'!$F$66</f>
        <v>58351.199174489826</v>
      </c>
      <c r="E19" s="218">
        <f>VLOOKUP(B19,'WF Need'!B20:F77,5,FALSE)</f>
        <v>21</v>
      </c>
      <c r="F19" s="221" t="str">
        <f t="shared" si="0"/>
        <v>Yes</v>
      </c>
      <c r="G19" s="221" t="str">
        <f t="shared" si="1"/>
        <v/>
      </c>
      <c r="H19" s="226">
        <f t="shared" si="2"/>
        <v>58351.199174489826</v>
      </c>
      <c r="K19" s="209">
        <f t="shared" si="3"/>
        <v>58351.199174489826</v>
      </c>
    </row>
    <row r="20" spans="1:11" x14ac:dyDescent="0.3">
      <c r="A20" s="217">
        <v>3</v>
      </c>
      <c r="B20" s="208" t="s">
        <v>43</v>
      </c>
      <c r="C20" s="155">
        <f>VLOOKUP(B20,BLS!$B$7:$I$64,8,FALSE)</f>
        <v>0.9111626148223877</v>
      </c>
      <c r="D20" s="139">
        <f>C20*'AVG RAS salary'!$F$66</f>
        <v>68944.629338752085</v>
      </c>
      <c r="E20" s="218">
        <f>VLOOKUP(B20,'WF Need'!B21:F78,5,FALSE)</f>
        <v>487</v>
      </c>
      <c r="F20" s="221" t="str">
        <f t="shared" si="0"/>
        <v/>
      </c>
      <c r="G20" s="221" t="str">
        <f t="shared" si="1"/>
        <v/>
      </c>
      <c r="H20" s="226">
        <f t="shared" si="2"/>
        <v>68944.629338752085</v>
      </c>
      <c r="K20" s="209" t="str">
        <f t="shared" si="3"/>
        <v/>
      </c>
    </row>
    <row r="21" spans="1:11" x14ac:dyDescent="0.3">
      <c r="A21" s="217">
        <v>2</v>
      </c>
      <c r="B21" s="208" t="s">
        <v>23</v>
      </c>
      <c r="C21" s="155">
        <f>VLOOKUP(B21,BLS!$B$7:$I$64,8,FALSE)</f>
        <v>0.85083627700805664</v>
      </c>
      <c r="D21" s="139">
        <f>C21*'AVG RAS salary'!$F$66</f>
        <v>64379.937007971879</v>
      </c>
      <c r="E21" s="218">
        <f>VLOOKUP(B21,'WF Need'!B22:F79,5,FALSE)</f>
        <v>108</v>
      </c>
      <c r="F21" s="221" t="str">
        <f t="shared" si="0"/>
        <v/>
      </c>
      <c r="G21" s="221" t="str">
        <f t="shared" si="1"/>
        <v/>
      </c>
      <c r="H21" s="226">
        <f t="shared" si="2"/>
        <v>64379.937007971879</v>
      </c>
      <c r="K21" s="209" t="str">
        <f t="shared" si="3"/>
        <v/>
      </c>
    </row>
    <row r="22" spans="1:11" x14ac:dyDescent="0.3">
      <c r="A22" s="217">
        <v>2</v>
      </c>
      <c r="B22" s="208" t="s">
        <v>24</v>
      </c>
      <c r="C22" s="155">
        <f>VLOOKUP(B22,BLS!$B$7:$I$64,8,FALSE)</f>
        <v>0.74541729688644409</v>
      </c>
      <c r="D22" s="139">
        <f>C22*'AVG RAS salary'!$F$66</f>
        <v>56403.235164063793</v>
      </c>
      <c r="E22" s="218">
        <f>VLOOKUP(B22,'WF Need'!B23:F80,5,FALSE)</f>
        <v>57</v>
      </c>
      <c r="F22" s="221" t="str">
        <f t="shared" si="0"/>
        <v/>
      </c>
      <c r="G22" s="221" t="str">
        <f t="shared" si="1"/>
        <v/>
      </c>
      <c r="H22" s="226">
        <f t="shared" si="2"/>
        <v>56403.235164063793</v>
      </c>
      <c r="K22" s="209" t="str">
        <f t="shared" si="3"/>
        <v/>
      </c>
    </row>
    <row r="23" spans="1:11" x14ac:dyDescent="0.3">
      <c r="A23" s="217">
        <v>1</v>
      </c>
      <c r="B23" s="208" t="s">
        <v>11</v>
      </c>
      <c r="C23" s="155">
        <f>VLOOKUP(B23,BLS!$B$7:$I$64,8,FALSE)</f>
        <v>0.79902935028076172</v>
      </c>
      <c r="D23" s="139">
        <f>C23*'AVG RAS salary'!$F$66</f>
        <v>60459.880036484428</v>
      </c>
      <c r="E23" s="218">
        <f>VLOOKUP(B23,'WF Need'!B24:F81,5,FALSE)</f>
        <v>22</v>
      </c>
      <c r="F23" s="221" t="str">
        <f t="shared" si="0"/>
        <v>Yes</v>
      </c>
      <c r="G23" s="221" t="str">
        <f t="shared" si="1"/>
        <v/>
      </c>
      <c r="H23" s="226">
        <f t="shared" si="2"/>
        <v>60459.880036484428</v>
      </c>
      <c r="K23" s="209">
        <f t="shared" si="3"/>
        <v>60459.880036484428</v>
      </c>
    </row>
    <row r="24" spans="1:11" x14ac:dyDescent="0.3">
      <c r="A24" s="217">
        <v>4</v>
      </c>
      <c r="B24" s="208" t="s">
        <v>54</v>
      </c>
      <c r="C24" s="155">
        <f>VLOOKUP(B24,BLS!$B$7:$I$64,8,FALSE)</f>
        <v>1.3778952360153198</v>
      </c>
      <c r="D24" s="139">
        <f>C24*'AVG RAS salary'!$F$66</f>
        <v>104260.72664672106</v>
      </c>
      <c r="E24" s="218">
        <f>VLOOKUP(B24,'WF Need'!B25:F82,5,FALSE)</f>
        <v>4222</v>
      </c>
      <c r="F24" s="221" t="str">
        <f t="shared" si="0"/>
        <v/>
      </c>
      <c r="G24" s="221" t="str">
        <f t="shared" si="1"/>
        <v/>
      </c>
      <c r="H24" s="226">
        <f t="shared" si="2"/>
        <v>104260.72664672106</v>
      </c>
      <c r="K24" s="209" t="str">
        <f t="shared" si="3"/>
        <v/>
      </c>
    </row>
    <row r="25" spans="1:11" x14ac:dyDescent="0.3">
      <c r="A25" s="217">
        <v>2</v>
      </c>
      <c r="B25" s="208" t="s">
        <v>25</v>
      </c>
      <c r="C25" s="155">
        <f>VLOOKUP(B25,BLS!$B$7:$I$64,8,FALSE)</f>
        <v>0.91104280948638916</v>
      </c>
      <c r="D25" s="139">
        <f>C25*'AVG RAS salary'!$F$66</f>
        <v>68935.564069447952</v>
      </c>
      <c r="E25" s="218">
        <f>VLOOKUP(B25,'WF Need'!B26:F83,5,FALSE)</f>
        <v>109</v>
      </c>
      <c r="F25" s="221" t="str">
        <f t="shared" si="0"/>
        <v/>
      </c>
      <c r="G25" s="221" t="str">
        <f t="shared" si="1"/>
        <v/>
      </c>
      <c r="H25" s="226">
        <f t="shared" si="2"/>
        <v>68935.564069447952</v>
      </c>
      <c r="K25" s="209" t="str">
        <f t="shared" si="3"/>
        <v/>
      </c>
    </row>
    <row r="26" spans="1:11" x14ac:dyDescent="0.3">
      <c r="A26" s="217">
        <v>2</v>
      </c>
      <c r="B26" s="208" t="s">
        <v>26</v>
      </c>
      <c r="C26" s="155">
        <f>VLOOKUP(B26,BLS!$B$7:$I$64,8,FALSE)</f>
        <v>1.2774569988250732</v>
      </c>
      <c r="D26" s="139">
        <f>C26*'AVG RAS salary'!$F$66</f>
        <v>96660.900971400697</v>
      </c>
      <c r="E26" s="218">
        <f>VLOOKUP(B26,'WF Need'!B27:F84,5,FALSE)</f>
        <v>100</v>
      </c>
      <c r="F26" s="221" t="str">
        <f t="shared" si="0"/>
        <v/>
      </c>
      <c r="G26" s="221" t="str">
        <f t="shared" si="1"/>
        <v/>
      </c>
      <c r="H26" s="226">
        <f t="shared" si="2"/>
        <v>96660.900971400697</v>
      </c>
      <c r="K26" s="209" t="str">
        <f t="shared" si="3"/>
        <v/>
      </c>
    </row>
    <row r="27" spans="1:11" x14ac:dyDescent="0.3">
      <c r="A27" s="217">
        <v>1</v>
      </c>
      <c r="B27" s="208" t="s">
        <v>12</v>
      </c>
      <c r="C27" s="155">
        <f>VLOOKUP(B27,BLS!$B$7:$I$64,8,FALSE)</f>
        <v>0.86291718482971191</v>
      </c>
      <c r="D27" s="139">
        <f>C27*'AVG RAS salary'!$F$66</f>
        <v>65294.058920230113</v>
      </c>
      <c r="E27" s="218">
        <f>VLOOKUP(B27,'WF Need'!B28:F85,5,FALSE)</f>
        <v>13</v>
      </c>
      <c r="F27" s="221" t="str">
        <f t="shared" si="0"/>
        <v>Yes</v>
      </c>
      <c r="G27" s="221" t="str">
        <f t="shared" si="1"/>
        <v/>
      </c>
      <c r="H27" s="226">
        <f t="shared" si="2"/>
        <v>65294.058920230113</v>
      </c>
      <c r="K27" s="209">
        <f t="shared" si="3"/>
        <v>65294.058920230113</v>
      </c>
    </row>
    <row r="28" spans="1:11" x14ac:dyDescent="0.3">
      <c r="A28" s="217">
        <v>2</v>
      </c>
      <c r="B28" s="208" t="s">
        <v>27</v>
      </c>
      <c r="C28" s="155">
        <f>VLOOKUP(B28,BLS!$B$7:$I$64,8,FALSE)</f>
        <v>0.79863435029983521</v>
      </c>
      <c r="D28" s="139">
        <f>C28*'AVG RAS salary'!$F$66</f>
        <v>60429.991708286172</v>
      </c>
      <c r="E28" s="218">
        <f>VLOOKUP(B28,'WF Need'!B29:F86,5,FALSE)</f>
        <v>62</v>
      </c>
      <c r="F28" s="221" t="str">
        <f t="shared" si="0"/>
        <v/>
      </c>
      <c r="G28" s="221" t="str">
        <f t="shared" si="1"/>
        <v/>
      </c>
      <c r="H28" s="226">
        <f t="shared" si="2"/>
        <v>60429.991708286172</v>
      </c>
      <c r="K28" s="209" t="str">
        <f t="shared" si="3"/>
        <v/>
      </c>
    </row>
    <row r="29" spans="1:11" x14ac:dyDescent="0.3">
      <c r="A29" s="217">
        <v>2</v>
      </c>
      <c r="B29" s="208" t="s">
        <v>28</v>
      </c>
      <c r="C29" s="155">
        <f>VLOOKUP(B29,BLS!$B$7:$I$64,8,FALSE)</f>
        <v>0.79453116655349731</v>
      </c>
      <c r="D29" s="139">
        <f>C29*'AVG RAS salary'!$F$66</f>
        <v>60119.517509830162</v>
      </c>
      <c r="E29" s="218">
        <f>VLOOKUP(B29,'WF Need'!B30:F87,5,FALSE)</f>
        <v>147</v>
      </c>
      <c r="F29" s="221" t="str">
        <f t="shared" si="0"/>
        <v/>
      </c>
      <c r="G29" s="221" t="str">
        <f t="shared" si="1"/>
        <v/>
      </c>
      <c r="H29" s="226">
        <f t="shared" si="2"/>
        <v>60119.517509830162</v>
      </c>
      <c r="K29" s="209" t="str">
        <f t="shared" si="3"/>
        <v/>
      </c>
    </row>
    <row r="30" spans="1:11" x14ac:dyDescent="0.3">
      <c r="A30" s="217">
        <v>1</v>
      </c>
      <c r="B30" s="208" t="s">
        <v>13</v>
      </c>
      <c r="C30" s="155">
        <f>VLOOKUP(B30,BLS!$B$7:$I$64,8,FALSE)</f>
        <v>0.55286097526550293</v>
      </c>
      <c r="D30" s="139">
        <f>C30*'AVG RAS salary'!$F$66</f>
        <v>41833.1419611319</v>
      </c>
      <c r="E30" s="218">
        <f>VLOOKUP(B30,'WF Need'!B31:F88,5,FALSE)</f>
        <v>11</v>
      </c>
      <c r="F30" s="221" t="str">
        <f t="shared" si="0"/>
        <v>Yes</v>
      </c>
      <c r="G30" s="221" t="str">
        <f t="shared" si="1"/>
        <v>Yes</v>
      </c>
      <c r="H30" s="226">
        <f t="shared" si="2"/>
        <v>58058.095565449185</v>
      </c>
      <c r="K30" s="209">
        <f t="shared" si="3"/>
        <v>41833.1419611319</v>
      </c>
    </row>
    <row r="31" spans="1:11" x14ac:dyDescent="0.3">
      <c r="A31" s="217">
        <v>1</v>
      </c>
      <c r="B31" s="208" t="s">
        <v>14</v>
      </c>
      <c r="C31" s="155">
        <f>VLOOKUP(B31,BLS!$B$7:$I$64,8,FALSE)</f>
        <v>0.89335083961486816</v>
      </c>
      <c r="D31" s="139">
        <f>C31*'AVG RAS salary'!$F$66</f>
        <v>67596.871847860093</v>
      </c>
      <c r="E31" s="218">
        <f>VLOOKUP(B31,'WF Need'!B32:F89,5,FALSE)</f>
        <v>13</v>
      </c>
      <c r="F31" s="221" t="str">
        <f t="shared" si="0"/>
        <v>Yes</v>
      </c>
      <c r="G31" s="221" t="str">
        <f t="shared" si="1"/>
        <v/>
      </c>
      <c r="H31" s="226">
        <f t="shared" si="2"/>
        <v>67596.871847860093</v>
      </c>
      <c r="K31" s="209">
        <f t="shared" si="3"/>
        <v>67596.871847860093</v>
      </c>
    </row>
    <row r="32" spans="1:11" x14ac:dyDescent="0.3">
      <c r="A32" s="217">
        <v>3</v>
      </c>
      <c r="B32" s="208" t="s">
        <v>44</v>
      </c>
      <c r="C32" s="155">
        <f>VLOOKUP(B32,BLS!$B$7:$I$64,8,FALSE)</f>
        <v>1.1405835151672363</v>
      </c>
      <c r="D32" s="139">
        <f>C32*'AVG RAS salary'!$F$66</f>
        <v>86304.141987239796</v>
      </c>
      <c r="E32" s="218">
        <f>VLOOKUP(B32,'WF Need'!B33:F90,5,FALSE)</f>
        <v>196</v>
      </c>
      <c r="F32" s="221" t="str">
        <f t="shared" si="0"/>
        <v/>
      </c>
      <c r="G32" s="221" t="str">
        <f t="shared" si="1"/>
        <v/>
      </c>
      <c r="H32" s="226">
        <f t="shared" si="2"/>
        <v>86304.141987239796</v>
      </c>
      <c r="K32" s="209" t="str">
        <f t="shared" si="3"/>
        <v/>
      </c>
    </row>
    <row r="33" spans="1:11" x14ac:dyDescent="0.3">
      <c r="A33" s="217">
        <v>2</v>
      </c>
      <c r="B33" s="208" t="s">
        <v>29</v>
      </c>
      <c r="C33" s="155">
        <f>VLOOKUP(B33,BLS!$B$7:$I$64,8,FALSE)</f>
        <v>1.259274959564209</v>
      </c>
      <c r="D33" s="139">
        <f>C33*'AVG RAS salary'!$F$66</f>
        <v>95285.126837266289</v>
      </c>
      <c r="E33" s="218">
        <f>VLOOKUP(B33,'WF Need'!B34:F91,5,FALSE)</f>
        <v>65</v>
      </c>
      <c r="F33" s="221" t="str">
        <f t="shared" si="0"/>
        <v/>
      </c>
      <c r="G33" s="221" t="str">
        <f t="shared" si="1"/>
        <v/>
      </c>
      <c r="H33" s="226">
        <f t="shared" si="2"/>
        <v>95285.126837266289</v>
      </c>
      <c r="K33" s="209" t="str">
        <f t="shared" si="3"/>
        <v/>
      </c>
    </row>
    <row r="34" spans="1:11" x14ac:dyDescent="0.3">
      <c r="A34" s="217">
        <v>2</v>
      </c>
      <c r="B34" s="208" t="s">
        <v>30</v>
      </c>
      <c r="C34" s="155">
        <f>VLOOKUP(B34,BLS!$B$7:$I$64,8,FALSE)</f>
        <v>1.0702334642410278</v>
      </c>
      <c r="D34" s="139">
        <f>C34*'AVG RAS salary'!$F$66</f>
        <v>80980.988791347059</v>
      </c>
      <c r="E34" s="218">
        <f>VLOOKUP(B34,'WF Need'!B35:F92,5,FALSE)</f>
        <v>47</v>
      </c>
      <c r="F34" s="221" t="str">
        <f t="shared" si="0"/>
        <v>Yes</v>
      </c>
      <c r="G34" s="221" t="str">
        <f t="shared" si="1"/>
        <v/>
      </c>
      <c r="H34" s="226">
        <f t="shared" si="2"/>
        <v>80980.988791347059</v>
      </c>
      <c r="K34" s="209">
        <f t="shared" si="3"/>
        <v>80980.988791347059</v>
      </c>
    </row>
    <row r="35" spans="1:11" x14ac:dyDescent="0.3">
      <c r="A35" s="217">
        <v>4</v>
      </c>
      <c r="B35" s="208" t="s">
        <v>55</v>
      </c>
      <c r="C35" s="155">
        <f>VLOOKUP(B35,BLS!$B$7:$I$64,8,FALSE)</f>
        <v>1.2341932058334351</v>
      </c>
      <c r="D35" s="139">
        <f>C35*'AVG RAS salary'!$F$66</f>
        <v>93387.274372729909</v>
      </c>
      <c r="E35" s="218">
        <f>VLOOKUP(B35,'WF Need'!B36:F93,5,FALSE)</f>
        <v>1278</v>
      </c>
      <c r="F35" s="221" t="str">
        <f t="shared" si="0"/>
        <v/>
      </c>
      <c r="G35" s="221" t="str">
        <f t="shared" si="1"/>
        <v/>
      </c>
      <c r="H35" s="226">
        <f t="shared" si="2"/>
        <v>93387.274372729909</v>
      </c>
      <c r="K35" s="209" t="str">
        <f t="shared" si="3"/>
        <v/>
      </c>
    </row>
    <row r="36" spans="1:11" x14ac:dyDescent="0.3">
      <c r="A36" s="217">
        <v>2</v>
      </c>
      <c r="B36" s="208" t="s">
        <v>31</v>
      </c>
      <c r="C36" s="155">
        <f>VLOOKUP(B36,BLS!$B$7:$I$64,8,FALSE)</f>
        <v>1.1571140289306641</v>
      </c>
      <c r="D36" s="139">
        <f>C36*'AVG RAS salary'!$F$66</f>
        <v>87554.950707504104</v>
      </c>
      <c r="E36" s="218">
        <f>VLOOKUP(B36,'WF Need'!B37:F94,5,FALSE)</f>
        <v>164</v>
      </c>
      <c r="F36" s="221" t="str">
        <f t="shared" si="0"/>
        <v/>
      </c>
      <c r="G36" s="221" t="str">
        <f t="shared" si="1"/>
        <v/>
      </c>
      <c r="H36" s="226">
        <f t="shared" si="2"/>
        <v>87554.950707504104</v>
      </c>
      <c r="K36" s="209" t="str">
        <f t="shared" si="3"/>
        <v/>
      </c>
    </row>
    <row r="37" spans="1:11" x14ac:dyDescent="0.3">
      <c r="A37" s="217">
        <v>1</v>
      </c>
      <c r="B37" s="208" t="s">
        <v>15</v>
      </c>
      <c r="C37" s="155">
        <f>VLOOKUP(B37,BLS!$B$7:$I$64,8,FALSE)</f>
        <v>0.70932430028915405</v>
      </c>
      <c r="D37" s="139">
        <f>C37*'AVG RAS salary'!$F$66</f>
        <v>53672.198758877144</v>
      </c>
      <c r="E37" s="218">
        <f>VLOOKUP(B37,'WF Need'!B38:F95,5,FALSE)</f>
        <v>12</v>
      </c>
      <c r="F37" s="221" t="str">
        <f t="shared" si="0"/>
        <v>Yes</v>
      </c>
      <c r="G37" s="221" t="str">
        <f t="shared" si="1"/>
        <v>Yes</v>
      </c>
      <c r="H37" s="226">
        <f t="shared" si="2"/>
        <v>58058.095565449185</v>
      </c>
      <c r="K37" s="209">
        <f t="shared" si="3"/>
        <v>53672.198758877144</v>
      </c>
    </row>
    <row r="38" spans="1:11" x14ac:dyDescent="0.3">
      <c r="A38" s="217">
        <v>4</v>
      </c>
      <c r="B38" s="208" t="s">
        <v>56</v>
      </c>
      <c r="C38" s="155">
        <f>VLOOKUP(B38,BLS!$B$7:$I$64,8,FALSE)</f>
        <v>1.0686442852020264</v>
      </c>
      <c r="D38" s="139">
        <f>C38*'AVG RAS salary'!$F$66</f>
        <v>80860.740925582475</v>
      </c>
      <c r="E38" s="218">
        <f>VLOOKUP(B38,'WF Need'!B39:F96,5,FALSE)</f>
        <v>1020</v>
      </c>
      <c r="F38" s="221" t="str">
        <f t="shared" si="0"/>
        <v/>
      </c>
      <c r="G38" s="221" t="str">
        <f t="shared" si="1"/>
        <v/>
      </c>
      <c r="H38" s="226">
        <f t="shared" si="2"/>
        <v>80860.740925582475</v>
      </c>
      <c r="K38" s="209" t="str">
        <f t="shared" si="3"/>
        <v/>
      </c>
    </row>
    <row r="39" spans="1:11" x14ac:dyDescent="0.3">
      <c r="A39" s="217">
        <v>4</v>
      </c>
      <c r="B39" s="208" t="s">
        <v>57</v>
      </c>
      <c r="C39" s="155">
        <f>VLOOKUP(B39,BLS!$B$7:$I$64,8,FALSE)</f>
        <v>1.3068737983703613</v>
      </c>
      <c r="D39" s="139">
        <f>C39*'AVG RAS salary'!$F$66</f>
        <v>98886.771862051319</v>
      </c>
      <c r="E39" s="218">
        <f>VLOOKUP(B39,'WF Need'!B40:F97,5,FALSE)</f>
        <v>669</v>
      </c>
      <c r="F39" s="221" t="str">
        <f t="shared" si="0"/>
        <v/>
      </c>
      <c r="G39" s="221" t="str">
        <f t="shared" si="1"/>
        <v/>
      </c>
      <c r="H39" s="226">
        <f t="shared" si="2"/>
        <v>98886.771862051319</v>
      </c>
      <c r="K39" s="209" t="str">
        <f t="shared" si="3"/>
        <v/>
      </c>
    </row>
    <row r="40" spans="1:11" x14ac:dyDescent="0.3">
      <c r="A40" s="217">
        <v>1</v>
      </c>
      <c r="B40" s="208" t="s">
        <v>16</v>
      </c>
      <c r="C40" s="155">
        <f>VLOOKUP(B40,BLS!$B$7:$I$64,8,FALSE)</f>
        <v>1.0147144794464111</v>
      </c>
      <c r="D40" s="139">
        <f>C40*'AVG RAS salary'!$F$66</f>
        <v>76780.052794126852</v>
      </c>
      <c r="E40" s="218">
        <f>VLOOKUP(B40,'WF Need'!B41:F98,5,FALSE)</f>
        <v>30</v>
      </c>
      <c r="F40" s="221" t="str">
        <f t="shared" si="0"/>
        <v>Yes</v>
      </c>
      <c r="G40" s="221" t="str">
        <f t="shared" si="1"/>
        <v/>
      </c>
      <c r="H40" s="226">
        <f t="shared" si="2"/>
        <v>76780.052794126852</v>
      </c>
      <c r="K40" s="209">
        <f t="shared" si="3"/>
        <v>76780.052794126852</v>
      </c>
    </row>
    <row r="41" spans="1:11" x14ac:dyDescent="0.3">
      <c r="A41" s="217">
        <v>4</v>
      </c>
      <c r="B41" s="208" t="s">
        <v>58</v>
      </c>
      <c r="C41" s="155">
        <f>VLOOKUP(B41,BLS!$B$7:$I$64,8,FALSE)</f>
        <v>1.1317492723464966</v>
      </c>
      <c r="D41" s="139">
        <f>C41*'AVG RAS salary'!$F$66</f>
        <v>85635.684363039356</v>
      </c>
      <c r="E41" s="218">
        <f>VLOOKUP(B41,'WF Need'!B42:F99,5,FALSE)</f>
        <v>1096</v>
      </c>
      <c r="F41" s="221" t="str">
        <f t="shared" si="0"/>
        <v/>
      </c>
      <c r="G41" s="221" t="str">
        <f t="shared" si="1"/>
        <v/>
      </c>
      <c r="H41" s="226">
        <f t="shared" si="2"/>
        <v>85635.684363039356</v>
      </c>
      <c r="K41" s="209" t="str">
        <f t="shared" si="3"/>
        <v/>
      </c>
    </row>
    <row r="42" spans="1:11" x14ac:dyDescent="0.3">
      <c r="A42" s="217">
        <v>4</v>
      </c>
      <c r="B42" s="208" t="s">
        <v>59</v>
      </c>
      <c r="C42" s="155">
        <f>VLOOKUP(B42,BLS!$B$7:$I$64,8,FALSE)</f>
        <v>1.1682393550872803</v>
      </c>
      <c r="D42" s="139">
        <f>C42*'AVG RAS salary'!$F$66</f>
        <v>88396.766949372352</v>
      </c>
      <c r="E42" s="218">
        <f>VLOOKUP(B42,'WF Need'!B43:F100,5,FALSE)</f>
        <v>1087</v>
      </c>
      <c r="F42" s="221" t="str">
        <f t="shared" si="0"/>
        <v/>
      </c>
      <c r="G42" s="221" t="str">
        <f t="shared" si="1"/>
        <v/>
      </c>
      <c r="H42" s="226">
        <f t="shared" si="2"/>
        <v>88396.766949372352</v>
      </c>
      <c r="K42" s="209" t="str">
        <f t="shared" si="3"/>
        <v/>
      </c>
    </row>
    <row r="43" spans="1:11" x14ac:dyDescent="0.3">
      <c r="A43" s="217">
        <v>3</v>
      </c>
      <c r="B43" s="208" t="s">
        <v>60</v>
      </c>
      <c r="C43" s="155">
        <f>VLOOKUP(B43,BLS!$B$7:$I$64,8,FALSE)</f>
        <v>1.6445738077163696</v>
      </c>
      <c r="D43" s="139">
        <f>C43*'AVG RAS salary'!$F$66</f>
        <v>124439.40274626744</v>
      </c>
      <c r="E43" s="218">
        <f>VLOOKUP(B43,'WF Need'!B44:F101,5,FALSE)</f>
        <v>264</v>
      </c>
      <c r="F43" s="221" t="str">
        <f t="shared" si="0"/>
        <v/>
      </c>
      <c r="G43" s="221" t="str">
        <f t="shared" si="1"/>
        <v/>
      </c>
      <c r="H43" s="226">
        <f t="shared" si="2"/>
        <v>124439.40274626744</v>
      </c>
      <c r="K43" s="209" t="str">
        <f t="shared" si="3"/>
        <v/>
      </c>
    </row>
    <row r="44" spans="1:11" x14ac:dyDescent="0.3">
      <c r="A44" s="217">
        <v>3</v>
      </c>
      <c r="B44" s="208" t="s">
        <v>45</v>
      </c>
      <c r="C44" s="155">
        <f>VLOOKUP(B44,BLS!$B$7:$I$64,8,FALSE)</f>
        <v>1.0367940664291382</v>
      </c>
      <c r="D44" s="139">
        <f>C44*'AVG RAS salary'!$F$66</f>
        <v>78450.741336120627</v>
      </c>
      <c r="E44" s="218">
        <f>VLOOKUP(B44,'WF Need'!B45:F102,5,FALSE)</f>
        <v>351</v>
      </c>
      <c r="F44" s="221" t="str">
        <f t="shared" si="0"/>
        <v/>
      </c>
      <c r="G44" s="221" t="str">
        <f t="shared" si="1"/>
        <v/>
      </c>
      <c r="H44" s="226">
        <f t="shared" si="2"/>
        <v>78450.741336120627</v>
      </c>
      <c r="K44" s="209" t="str">
        <f t="shared" si="3"/>
        <v/>
      </c>
    </row>
    <row r="45" spans="1:11" x14ac:dyDescent="0.3">
      <c r="A45" s="217">
        <v>2</v>
      </c>
      <c r="B45" s="208" t="s">
        <v>32</v>
      </c>
      <c r="C45" s="155">
        <f>VLOOKUP(B45,BLS!$B$7:$I$64,8,FALSE)</f>
        <v>1.0249271392822266</v>
      </c>
      <c r="D45" s="139">
        <f>C45*'AVG RAS salary'!$F$66</f>
        <v>77552.810626251361</v>
      </c>
      <c r="E45" s="218">
        <f>VLOOKUP(B45,'WF Need'!B46:F103,5,FALSE)</f>
        <v>133</v>
      </c>
      <c r="F45" s="221" t="str">
        <f t="shared" si="0"/>
        <v/>
      </c>
      <c r="G45" s="221" t="str">
        <f t="shared" si="1"/>
        <v/>
      </c>
      <c r="H45" s="226">
        <f t="shared" si="2"/>
        <v>77552.810626251361</v>
      </c>
      <c r="K45" s="209" t="str">
        <f t="shared" si="3"/>
        <v/>
      </c>
    </row>
    <row r="46" spans="1:11" x14ac:dyDescent="0.3">
      <c r="A46" s="217">
        <v>3</v>
      </c>
      <c r="B46" s="208" t="s">
        <v>46</v>
      </c>
      <c r="C46" s="155">
        <f>VLOOKUP(B46,BLS!$B$7:$I$64,8,FALSE)</f>
        <v>1.6069790124893188</v>
      </c>
      <c r="D46" s="139">
        <f>C46*'AVG RAS salary'!$F$66</f>
        <v>121594.73025879872</v>
      </c>
      <c r="E46" s="218">
        <f>VLOOKUP(B46,'WF Need'!B47:F104,5,FALSE)</f>
        <v>244</v>
      </c>
      <c r="F46" s="221" t="str">
        <f t="shared" si="0"/>
        <v/>
      </c>
      <c r="G46" s="221" t="str">
        <f t="shared" si="1"/>
        <v/>
      </c>
      <c r="H46" s="226">
        <f t="shared" si="2"/>
        <v>121594.73025879872</v>
      </c>
      <c r="K46" s="209" t="str">
        <f t="shared" si="3"/>
        <v/>
      </c>
    </row>
    <row r="47" spans="1:11" x14ac:dyDescent="0.3">
      <c r="A47" s="217">
        <v>3</v>
      </c>
      <c r="B47" s="208" t="s">
        <v>47</v>
      </c>
      <c r="C47" s="155">
        <f>VLOOKUP(B47,BLS!$B$7:$I$64,8,FALSE)</f>
        <v>1.2129175662994385</v>
      </c>
      <c r="D47" s="139">
        <f>C47*'AVG RAS salary'!$F$66</f>
        <v>91777.417846842684</v>
      </c>
      <c r="E47" s="218">
        <f>VLOOKUP(B47,'WF Need'!B48:F105,5,FALSE)</f>
        <v>179</v>
      </c>
      <c r="F47" s="221" t="str">
        <f t="shared" si="0"/>
        <v/>
      </c>
      <c r="G47" s="221" t="str">
        <f t="shared" si="1"/>
        <v/>
      </c>
      <c r="H47" s="226">
        <f t="shared" si="2"/>
        <v>91777.417846842684</v>
      </c>
      <c r="K47" s="209" t="str">
        <f t="shared" si="3"/>
        <v/>
      </c>
    </row>
    <row r="48" spans="1:11" x14ac:dyDescent="0.3">
      <c r="A48" s="217">
        <v>4</v>
      </c>
      <c r="B48" s="208" t="s">
        <v>61</v>
      </c>
      <c r="C48" s="155">
        <f>VLOOKUP(B48,BLS!$B$7:$I$64,8,FALSE)</f>
        <v>1.493375301361084</v>
      </c>
      <c r="D48" s="139">
        <f>C48*'AVG RAS salary'!$F$66</f>
        <v>112998.71717855445</v>
      </c>
      <c r="E48" s="218">
        <f>VLOOKUP(B48,'WF Need'!B49:F106,5,FALSE)</f>
        <v>502</v>
      </c>
      <c r="F48" s="221" t="str">
        <f t="shared" si="0"/>
        <v/>
      </c>
      <c r="G48" s="221" t="str">
        <f t="shared" si="1"/>
        <v/>
      </c>
      <c r="H48" s="226">
        <f t="shared" si="2"/>
        <v>112998.71717855445</v>
      </c>
      <c r="K48" s="209" t="str">
        <f t="shared" si="3"/>
        <v/>
      </c>
    </row>
    <row r="49" spans="1:11" x14ac:dyDescent="0.3">
      <c r="A49" s="217">
        <v>2</v>
      </c>
      <c r="B49" s="208" t="s">
        <v>33</v>
      </c>
      <c r="C49" s="155">
        <f>VLOOKUP(B49,BLS!$B$7:$I$64,8,FALSE)</f>
        <v>1.1142647266387939</v>
      </c>
      <c r="D49" s="139">
        <f>C49*'AVG RAS salary'!$F$66</f>
        <v>84312.687234575074</v>
      </c>
      <c r="E49" s="218">
        <f>VLOOKUP(B49,'WF Need'!B50:F107,5,FALSE)</f>
        <v>110</v>
      </c>
      <c r="F49" s="221" t="str">
        <f t="shared" si="0"/>
        <v/>
      </c>
      <c r="G49" s="221" t="str">
        <f t="shared" si="1"/>
        <v/>
      </c>
      <c r="H49" s="226">
        <f t="shared" si="2"/>
        <v>84312.687234575074</v>
      </c>
      <c r="K49" s="209" t="str">
        <f t="shared" si="3"/>
        <v/>
      </c>
    </row>
    <row r="50" spans="1:11" x14ac:dyDescent="0.3">
      <c r="A50" s="217">
        <v>2</v>
      </c>
      <c r="B50" s="208" t="s">
        <v>34</v>
      </c>
      <c r="C50" s="155">
        <f>VLOOKUP(B50,BLS!$B$7:$I$64,8,FALSE)</f>
        <v>0.90726649761199951</v>
      </c>
      <c r="D50" s="139">
        <f>C50*'AVG RAS salary'!$F$66</f>
        <v>68649.823172914272</v>
      </c>
      <c r="E50" s="218">
        <f>VLOOKUP(B50,'WF Need'!B51:F108,5,FALSE)</f>
        <v>152</v>
      </c>
      <c r="F50" s="221" t="str">
        <f t="shared" si="0"/>
        <v/>
      </c>
      <c r="G50" s="221" t="str">
        <f t="shared" si="1"/>
        <v/>
      </c>
      <c r="H50" s="226">
        <f t="shared" si="2"/>
        <v>68649.823172914272</v>
      </c>
      <c r="K50" s="209" t="str">
        <f t="shared" si="3"/>
        <v/>
      </c>
    </row>
    <row r="51" spans="1:11" x14ac:dyDescent="0.3">
      <c r="A51" s="217">
        <v>1</v>
      </c>
      <c r="B51" s="208" t="s">
        <v>17</v>
      </c>
      <c r="C51" s="155">
        <f>VLOOKUP(B51,BLS!$B$7:$I$64,8,FALSE)</f>
        <v>0.70744216442108154</v>
      </c>
      <c r="D51" s="139">
        <f>C51*'AVG RAS salary'!$F$66</f>
        <v>53529.783829117623</v>
      </c>
      <c r="E51" s="218">
        <f>VLOOKUP(B51,'WF Need'!B52:F109,5,FALSE)</f>
        <v>4</v>
      </c>
      <c r="F51" s="221" t="str">
        <f t="shared" si="0"/>
        <v>Yes</v>
      </c>
      <c r="G51" s="221" t="str">
        <f t="shared" si="1"/>
        <v>Yes</v>
      </c>
      <c r="H51" s="226">
        <f t="shared" si="2"/>
        <v>58058.095565449185</v>
      </c>
      <c r="K51" s="209">
        <f t="shared" si="3"/>
        <v>53529.783829117623</v>
      </c>
    </row>
    <row r="52" spans="1:11" x14ac:dyDescent="0.3">
      <c r="A52" s="217">
        <v>2</v>
      </c>
      <c r="B52" s="208" t="s">
        <v>35</v>
      </c>
      <c r="C52" s="155">
        <f>VLOOKUP(B52,BLS!$B$7:$I$64,8,FALSE)</f>
        <v>0.68684351444244385</v>
      </c>
      <c r="D52" s="139">
        <f>C52*'AVG RAS salary'!$F$66</f>
        <v>51971.152839925096</v>
      </c>
      <c r="E52" s="218">
        <f>VLOOKUP(B52,'WF Need'!B53:F110,5,FALSE)</f>
        <v>37</v>
      </c>
      <c r="F52" s="221" t="str">
        <f t="shared" si="0"/>
        <v>Yes</v>
      </c>
      <c r="G52" s="221" t="str">
        <f t="shared" si="1"/>
        <v>Yes</v>
      </c>
      <c r="H52" s="226">
        <f t="shared" si="2"/>
        <v>58058.095565449185</v>
      </c>
      <c r="K52" s="209">
        <f t="shared" si="3"/>
        <v>51971.152839925096</v>
      </c>
    </row>
    <row r="53" spans="1:11" x14ac:dyDescent="0.3">
      <c r="A53" s="217">
        <v>3</v>
      </c>
      <c r="B53" s="208" t="s">
        <v>48</v>
      </c>
      <c r="C53" s="155">
        <f>VLOOKUP(B53,BLS!$B$7:$I$64,8,FALSE)</f>
        <v>1.2005521059036255</v>
      </c>
      <c r="D53" s="139">
        <f>C53*'AVG RAS salary'!$F$66</f>
        <v>90841.764792466071</v>
      </c>
      <c r="E53" s="218">
        <f>VLOOKUP(B53,'WF Need'!B54:F111,5,FALSE)</f>
        <v>181</v>
      </c>
      <c r="F53" s="221" t="str">
        <f t="shared" si="0"/>
        <v/>
      </c>
      <c r="G53" s="221" t="str">
        <f t="shared" si="1"/>
        <v/>
      </c>
      <c r="H53" s="226">
        <f t="shared" si="2"/>
        <v>90841.764792466071</v>
      </c>
      <c r="K53" s="209" t="str">
        <f t="shared" si="3"/>
        <v/>
      </c>
    </row>
    <row r="54" spans="1:11" x14ac:dyDescent="0.3">
      <c r="A54" s="217">
        <v>3</v>
      </c>
      <c r="B54" s="208" t="s">
        <v>49</v>
      </c>
      <c r="C54" s="155">
        <f>VLOOKUP(B54,BLS!$B$7:$I$64,8,FALSE)</f>
        <v>1.2093691825866699</v>
      </c>
      <c r="D54" s="139">
        <f>C54*'AVG RAS salary'!$F$66</f>
        <v>91508.923512408015</v>
      </c>
      <c r="E54" s="218">
        <f>VLOOKUP(B54,'WF Need'!B55:F112,5,FALSE)</f>
        <v>180</v>
      </c>
      <c r="F54" s="221" t="str">
        <f t="shared" si="0"/>
        <v/>
      </c>
      <c r="G54" s="221" t="str">
        <f t="shared" si="1"/>
        <v/>
      </c>
      <c r="H54" s="226">
        <f t="shared" si="2"/>
        <v>91508.923512408015</v>
      </c>
      <c r="K54" s="209" t="str">
        <f t="shared" si="3"/>
        <v/>
      </c>
    </row>
    <row r="55" spans="1:11" x14ac:dyDescent="0.3">
      <c r="A55" s="217">
        <v>3</v>
      </c>
      <c r="B55" s="208" t="s">
        <v>50</v>
      </c>
      <c r="C55" s="155">
        <f>VLOOKUP(B55,BLS!$B$7:$I$64,8,FALSE)</f>
        <v>1.0253034830093384</v>
      </c>
      <c r="D55" s="139">
        <f>C55*'AVG RAS salary'!$F$66</f>
        <v>77581.287298085343</v>
      </c>
      <c r="E55" s="218">
        <f>VLOOKUP(B55,'WF Need'!B56:F113,5,FALSE)</f>
        <v>261</v>
      </c>
      <c r="F55" s="221" t="str">
        <f t="shared" si="0"/>
        <v/>
      </c>
      <c r="G55" s="221" t="str">
        <f t="shared" si="1"/>
        <v/>
      </c>
      <c r="H55" s="226">
        <f t="shared" si="2"/>
        <v>77581.287298085343</v>
      </c>
      <c r="K55" s="209" t="str">
        <f t="shared" si="3"/>
        <v/>
      </c>
    </row>
    <row r="56" spans="1:11" x14ac:dyDescent="0.3">
      <c r="A56" s="217">
        <v>2</v>
      </c>
      <c r="B56" s="208" t="s">
        <v>36</v>
      </c>
      <c r="C56" s="155">
        <f>VLOOKUP(B56,BLS!$B$7:$I$64,8,FALSE)</f>
        <v>0.93283271789550781</v>
      </c>
      <c r="D56" s="139">
        <f>C56*'AVG RAS salary'!$F$66</f>
        <v>70584.333602079496</v>
      </c>
      <c r="E56" s="218">
        <f>VLOOKUP(B56,'WF Need'!B57:F114,5,FALSE)</f>
        <v>65</v>
      </c>
      <c r="F56" s="221" t="str">
        <f t="shared" si="0"/>
        <v/>
      </c>
      <c r="G56" s="221" t="str">
        <f t="shared" si="1"/>
        <v/>
      </c>
      <c r="H56" s="226">
        <f t="shared" si="2"/>
        <v>70584.333602079496</v>
      </c>
      <c r="K56" s="209" t="str">
        <f t="shared" si="3"/>
        <v/>
      </c>
    </row>
    <row r="57" spans="1:11" x14ac:dyDescent="0.3">
      <c r="A57" s="217">
        <v>2</v>
      </c>
      <c r="B57" s="208" t="s">
        <v>37</v>
      </c>
      <c r="C57" s="155">
        <f>VLOOKUP(B57,BLS!$B$7:$I$64,8,FALSE)</f>
        <v>0.7393220067024231</v>
      </c>
      <c r="D57" s="139">
        <f>C57*'AVG RAS salary'!$F$66</f>
        <v>55942.02493044224</v>
      </c>
      <c r="E57" s="218">
        <f>VLOOKUP(B57,'WF Need'!B58:F115,5,FALSE)</f>
        <v>53</v>
      </c>
      <c r="F57" s="221" t="str">
        <f t="shared" si="0"/>
        <v/>
      </c>
      <c r="G57" s="221" t="str">
        <f t="shared" si="1"/>
        <v/>
      </c>
      <c r="H57" s="226">
        <f t="shared" si="2"/>
        <v>55942.02493044224</v>
      </c>
      <c r="K57" s="209" t="str">
        <f t="shared" si="3"/>
        <v/>
      </c>
    </row>
    <row r="58" spans="1:11" x14ac:dyDescent="0.3">
      <c r="A58" s="217">
        <v>1</v>
      </c>
      <c r="B58" s="208" t="s">
        <v>18</v>
      </c>
      <c r="C58" s="155">
        <f>VLOOKUP(B58,BLS!$B$7:$I$64,8,FALSE)</f>
        <v>0.72917252779006958</v>
      </c>
      <c r="D58" s="139">
        <f>C58*'AVG RAS salary'!$F$66</f>
        <v>55174.047787602489</v>
      </c>
      <c r="E58" s="218">
        <f>VLOOKUP(B58,'WF Need'!B59:F116,5,FALSE)</f>
        <v>16</v>
      </c>
      <c r="F58" s="221" t="str">
        <f t="shared" si="0"/>
        <v>Yes</v>
      </c>
      <c r="G58" s="221" t="str">
        <f t="shared" si="1"/>
        <v>Yes</v>
      </c>
      <c r="H58" s="226">
        <f t="shared" si="2"/>
        <v>58058.095565449185</v>
      </c>
      <c r="K58" s="209">
        <f t="shared" si="3"/>
        <v>55174.047787602489</v>
      </c>
    </row>
    <row r="59" spans="1:11" x14ac:dyDescent="0.3">
      <c r="A59" s="217">
        <v>3</v>
      </c>
      <c r="B59" s="208" t="s">
        <v>51</v>
      </c>
      <c r="C59" s="155">
        <f>VLOOKUP(B59,BLS!$B$7:$I$64,8,FALSE)</f>
        <v>0.96143299341201782</v>
      </c>
      <c r="D59" s="139">
        <f>C59*'AVG RAS salary'!$F$66</f>
        <v>72748.420848850859</v>
      </c>
      <c r="E59" s="218">
        <f>VLOOKUP(B59,'WF Need'!B60:F117,5,FALSE)</f>
        <v>262</v>
      </c>
      <c r="F59" s="221" t="str">
        <f t="shared" si="0"/>
        <v/>
      </c>
      <c r="G59" s="221" t="str">
        <f t="shared" si="1"/>
        <v/>
      </c>
      <c r="H59" s="226">
        <f t="shared" si="2"/>
        <v>72748.420848850859</v>
      </c>
      <c r="K59" s="209" t="str">
        <f t="shared" si="3"/>
        <v/>
      </c>
    </row>
    <row r="60" spans="1:11" x14ac:dyDescent="0.3">
      <c r="A60" s="217">
        <v>2</v>
      </c>
      <c r="B60" s="208" t="s">
        <v>38</v>
      </c>
      <c r="C60" s="155">
        <f>VLOOKUP(B60,BLS!$B$7:$I$64,8,FALSE)</f>
        <v>0.8139042854309082</v>
      </c>
      <c r="D60" s="139">
        <f>C60*'AVG RAS salary'!$F$66</f>
        <v>61585.416657150905</v>
      </c>
      <c r="E60" s="218">
        <f>VLOOKUP(B60,'WF Need'!B61:F118,5,FALSE)</f>
        <v>40</v>
      </c>
      <c r="F60" s="221" t="str">
        <f t="shared" si="0"/>
        <v>Yes</v>
      </c>
      <c r="G60" s="221" t="str">
        <f t="shared" si="1"/>
        <v/>
      </c>
      <c r="H60" s="226">
        <f t="shared" si="2"/>
        <v>61585.416657150905</v>
      </c>
      <c r="K60" s="209">
        <f t="shared" si="3"/>
        <v>61585.416657150905</v>
      </c>
    </row>
    <row r="61" spans="1:11" x14ac:dyDescent="0.3">
      <c r="A61" s="217">
        <v>3</v>
      </c>
      <c r="B61" s="208" t="s">
        <v>52</v>
      </c>
      <c r="C61" s="155">
        <f>VLOOKUP(B61,BLS!$B$7:$I$64,8,FALSE)</f>
        <v>1.2558466196060181</v>
      </c>
      <c r="D61" s="139">
        <f>C61*'AVG RAS salary'!$F$66</f>
        <v>95025.71581247267</v>
      </c>
      <c r="E61" s="218">
        <f>VLOOKUP(B61,'WF Need'!B62:F119,5,FALSE)</f>
        <v>300</v>
      </c>
      <c r="F61" s="221" t="str">
        <f t="shared" si="0"/>
        <v/>
      </c>
      <c r="G61" s="221" t="str">
        <f t="shared" si="1"/>
        <v/>
      </c>
      <c r="H61" s="226">
        <f t="shared" si="2"/>
        <v>95025.71581247267</v>
      </c>
      <c r="K61" s="209" t="str">
        <f t="shared" si="3"/>
        <v/>
      </c>
    </row>
    <row r="62" spans="1:11" x14ac:dyDescent="0.3">
      <c r="A62" s="217">
        <v>2</v>
      </c>
      <c r="B62" s="208" t="s">
        <v>39</v>
      </c>
      <c r="C62" s="155">
        <f>VLOOKUP(B62,BLS!$B$7:$I$64,8,FALSE)</f>
        <v>1.3046829700469971</v>
      </c>
      <c r="D62" s="139">
        <f>C62*'AVG RAS salary'!$F$66</f>
        <v>98720.999206059918</v>
      </c>
      <c r="E62" s="218">
        <f>VLOOKUP(B62,'WF Need'!B63:F120,5,FALSE)</f>
        <v>96</v>
      </c>
      <c r="F62" s="221" t="str">
        <f t="shared" si="0"/>
        <v/>
      </c>
      <c r="G62" s="221" t="str">
        <f t="shared" si="1"/>
        <v/>
      </c>
      <c r="H62" s="226">
        <f t="shared" si="2"/>
        <v>98720.999206059918</v>
      </c>
      <c r="K62" s="209" t="str">
        <f t="shared" si="3"/>
        <v/>
      </c>
    </row>
    <row r="63" spans="1:11" x14ac:dyDescent="0.3">
      <c r="A63" s="217">
        <v>2</v>
      </c>
      <c r="B63" s="208" t="s">
        <v>40</v>
      </c>
      <c r="C63" s="155">
        <f>VLOOKUP(B63,BLS!$B$7:$I$64,8,FALSE)</f>
        <v>1.2144660949707031</v>
      </c>
      <c r="D63" s="139">
        <f>C63*'AVG RAS salary'!$F$66</f>
        <v>91894.58983516178</v>
      </c>
      <c r="E63" s="218">
        <f>VLOOKUP(B63,'WF Need'!B64:F121,5,FALSE)</f>
        <v>56</v>
      </c>
      <c r="F63" s="221" t="str">
        <f t="shared" si="0"/>
        <v/>
      </c>
      <c r="G63" s="221" t="str">
        <f t="shared" si="1"/>
        <v/>
      </c>
      <c r="H63" s="226">
        <f t="shared" si="2"/>
        <v>91894.58983516178</v>
      </c>
      <c r="K63" s="209" t="str">
        <f>IF(F63="Yes",D63,"")</f>
        <v/>
      </c>
    </row>
    <row r="64" spans="1:11" x14ac:dyDescent="0.3">
      <c r="C64" s="210"/>
      <c r="D64" s="265"/>
      <c r="E64" s="111"/>
      <c r="K64" s="212">
        <f>MEDIAN(K6:K63)</f>
        <v>58058.095565449185</v>
      </c>
    </row>
    <row r="65" spans="1:11" x14ac:dyDescent="0.3">
      <c r="B65" s="215" t="s">
        <v>229</v>
      </c>
      <c r="C65" s="241"/>
      <c r="E65" s="211"/>
      <c r="K65" s="212"/>
    </row>
    <row r="66" spans="1:11" ht="19.05" customHeight="1" x14ac:dyDescent="0.3">
      <c r="A66" s="213"/>
      <c r="D66" s="229" t="s">
        <v>77</v>
      </c>
      <c r="G66" s="224" t="s">
        <v>77</v>
      </c>
      <c r="H66" s="232">
        <f>K64</f>
        <v>58058.095565449185</v>
      </c>
    </row>
    <row r="67" spans="1:11" x14ac:dyDescent="0.3">
      <c r="B67" s="214"/>
      <c r="C67" s="106"/>
      <c r="D67" s="156">
        <f>K64</f>
        <v>58058.095565449185</v>
      </c>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K51" sqref="K51"/>
    </sheetView>
  </sheetViews>
  <sheetFormatPr defaultColWidth="9.21875" defaultRowHeight="14.4" x14ac:dyDescent="0.3"/>
  <cols>
    <col min="1" max="1" width="16.21875" style="53" customWidth="1"/>
    <col min="2" max="2" width="15.77734375" style="53" bestFit="1" customWidth="1"/>
    <col min="3" max="3" width="15.6640625" style="53" bestFit="1" customWidth="1"/>
    <col min="4" max="4" width="16.44140625" style="53" customWidth="1"/>
    <col min="5" max="5" width="16.33203125" style="53" bestFit="1" customWidth="1"/>
    <col min="6" max="6" width="15.44140625" style="53" customWidth="1"/>
    <col min="7" max="7" width="19.21875" style="53" customWidth="1"/>
    <col min="8" max="16384" width="9.21875" style="53"/>
  </cols>
  <sheetData>
    <row r="1" spans="1:7" ht="18" x14ac:dyDescent="0.3">
      <c r="A1" s="164" t="s">
        <v>127</v>
      </c>
    </row>
    <row r="2" spans="1:7" x14ac:dyDescent="0.3">
      <c r="A2" s="49" t="s">
        <v>248</v>
      </c>
    </row>
    <row r="4" spans="1:7" x14ac:dyDescent="0.3">
      <c r="B4" s="300" t="s">
        <v>232</v>
      </c>
      <c r="C4" s="301"/>
    </row>
    <row r="5" spans="1:7" ht="43.2" x14ac:dyDescent="0.3">
      <c r="A5" s="302" t="s">
        <v>63</v>
      </c>
      <c r="B5" s="202" t="s">
        <v>186</v>
      </c>
      <c r="C5" s="202" t="s">
        <v>185</v>
      </c>
      <c r="D5" s="42" t="s">
        <v>199</v>
      </c>
      <c r="E5" s="203" t="s">
        <v>200</v>
      </c>
      <c r="F5" s="42" t="s">
        <v>201</v>
      </c>
      <c r="G5" s="42" t="s">
        <v>202</v>
      </c>
    </row>
    <row r="6" spans="1:7" x14ac:dyDescent="0.3">
      <c r="A6" s="303"/>
      <c r="B6" s="78" t="s">
        <v>65</v>
      </c>
      <c r="C6" s="78" t="s">
        <v>1</v>
      </c>
      <c r="D6" s="78" t="s">
        <v>66</v>
      </c>
      <c r="E6" s="78" t="s">
        <v>2</v>
      </c>
      <c r="F6" s="78" t="s">
        <v>3</v>
      </c>
      <c r="G6" s="78" t="s">
        <v>83</v>
      </c>
    </row>
    <row r="7" spans="1:7" x14ac:dyDescent="0.3">
      <c r="A7" s="157" t="s">
        <v>53</v>
      </c>
      <c r="B7" s="158">
        <v>498.84999999999991</v>
      </c>
      <c r="C7" s="266">
        <v>46753570.846390046</v>
      </c>
      <c r="D7" s="266">
        <v>14920232.186588569</v>
      </c>
      <c r="E7" s="266">
        <v>9897527.3542319108</v>
      </c>
      <c r="F7" s="159">
        <f>D7/C7</f>
        <v>0.31912497626351027</v>
      </c>
      <c r="G7" s="160">
        <f>E7/B7</f>
        <v>19840.688291534356</v>
      </c>
    </row>
    <row r="8" spans="1:7" x14ac:dyDescent="0.3">
      <c r="A8" s="157" t="s">
        <v>4</v>
      </c>
      <c r="B8" s="158">
        <v>3.8</v>
      </c>
      <c r="C8" s="266">
        <v>267833.92</v>
      </c>
      <c r="D8" s="266">
        <v>131308.25761919998</v>
      </c>
      <c r="E8" s="266">
        <v>102931.54000000001</v>
      </c>
      <c r="F8" s="159">
        <f t="shared" ref="F8:F65" si="0">D8/C8</f>
        <v>0.49025999999999997</v>
      </c>
      <c r="G8" s="160">
        <f t="shared" ref="G8:G64" si="1">E8/B8</f>
        <v>27087.247368421056</v>
      </c>
    </row>
    <row r="9" spans="1:7" x14ac:dyDescent="0.3">
      <c r="A9" s="157" t="s">
        <v>5</v>
      </c>
      <c r="B9" s="158">
        <v>22.75</v>
      </c>
      <c r="C9" s="266">
        <v>1548458.6000000003</v>
      </c>
      <c r="D9" s="266">
        <v>579433.20811999997</v>
      </c>
      <c r="E9" s="266">
        <v>238919.43000000011</v>
      </c>
      <c r="F9" s="159">
        <f t="shared" si="0"/>
        <v>0.37419999999999992</v>
      </c>
      <c r="G9" s="160">
        <f t="shared" si="1"/>
        <v>10501.952967032972</v>
      </c>
    </row>
    <row r="10" spans="1:7" x14ac:dyDescent="0.3">
      <c r="A10" s="157" t="s">
        <v>19</v>
      </c>
      <c r="B10" s="158">
        <v>89.059999999999974</v>
      </c>
      <c r="C10" s="266">
        <v>5265581.8974000048</v>
      </c>
      <c r="D10" s="266">
        <v>1708489.0636305227</v>
      </c>
      <c r="E10" s="266">
        <v>1196399.7032293861</v>
      </c>
      <c r="F10" s="159">
        <f t="shared" si="0"/>
        <v>0.32446348702203764</v>
      </c>
      <c r="G10" s="160">
        <f t="shared" si="1"/>
        <v>13433.636910278312</v>
      </c>
    </row>
    <row r="11" spans="1:7" x14ac:dyDescent="0.3">
      <c r="A11" s="157" t="s">
        <v>6</v>
      </c>
      <c r="B11" s="158">
        <v>19.349999999999998</v>
      </c>
      <c r="C11" s="266">
        <v>1398077.7849999999</v>
      </c>
      <c r="D11" s="266">
        <v>378492.21340320009</v>
      </c>
      <c r="E11" s="266">
        <v>369503.97400000022</v>
      </c>
      <c r="F11" s="159">
        <f t="shared" si="0"/>
        <v>0.27072328697591036</v>
      </c>
      <c r="G11" s="160">
        <f t="shared" si="1"/>
        <v>19095.812609819135</v>
      </c>
    </row>
    <row r="12" spans="1:7" x14ac:dyDescent="0.3">
      <c r="A12" s="157" t="s">
        <v>7</v>
      </c>
      <c r="B12" s="158">
        <v>9.6499999999999968</v>
      </c>
      <c r="C12" s="266">
        <v>491099.90000000008</v>
      </c>
      <c r="D12" s="266">
        <v>229098.10334999999</v>
      </c>
      <c r="E12" s="266">
        <v>221677.67250000007</v>
      </c>
      <c r="F12" s="159">
        <f t="shared" si="0"/>
        <v>0.46649999999999991</v>
      </c>
      <c r="G12" s="160">
        <f t="shared" si="1"/>
        <v>22971.779533678771</v>
      </c>
    </row>
    <row r="13" spans="1:7" x14ac:dyDescent="0.3">
      <c r="A13" s="157" t="s">
        <v>41</v>
      </c>
      <c r="B13" s="158">
        <v>243.89</v>
      </c>
      <c r="C13" s="266">
        <v>20370155.463399999</v>
      </c>
      <c r="D13" s="266">
        <v>7102894.6373027433</v>
      </c>
      <c r="E13" s="266">
        <v>6257132.6787551381</v>
      </c>
      <c r="F13" s="159">
        <f t="shared" si="0"/>
        <v>0.34869123360716825</v>
      </c>
      <c r="G13" s="160">
        <f t="shared" si="1"/>
        <v>25655.552416069288</v>
      </c>
    </row>
    <row r="14" spans="1:7" x14ac:dyDescent="0.3">
      <c r="A14" s="157" t="s">
        <v>8</v>
      </c>
      <c r="B14" s="158">
        <v>18</v>
      </c>
      <c r="C14" s="266">
        <v>1063879.1207708332</v>
      </c>
      <c r="D14" s="266">
        <v>329954.70590935618</v>
      </c>
      <c r="E14" s="266">
        <v>490174.66</v>
      </c>
      <c r="F14" s="159">
        <f t="shared" si="0"/>
        <v>0.31014304112885271</v>
      </c>
      <c r="G14" s="160">
        <f t="shared" si="1"/>
        <v>27231.925555555554</v>
      </c>
    </row>
    <row r="15" spans="1:7" x14ac:dyDescent="0.3">
      <c r="A15" s="157" t="s">
        <v>20</v>
      </c>
      <c r="B15" s="158">
        <v>59.359999999999992</v>
      </c>
      <c r="C15" s="266">
        <v>3939266.6876571411</v>
      </c>
      <c r="D15" s="266">
        <v>1111413.0460139483</v>
      </c>
      <c r="E15" s="266">
        <v>1466625.7062382861</v>
      </c>
      <c r="F15" s="159">
        <f t="shared" si="0"/>
        <v>0.28213704075845536</v>
      </c>
      <c r="G15" s="160">
        <f t="shared" si="1"/>
        <v>24707.306371938786</v>
      </c>
    </row>
    <row r="16" spans="1:7" x14ac:dyDescent="0.3">
      <c r="A16" s="157" t="s">
        <v>42</v>
      </c>
      <c r="B16" s="158">
        <v>407.02499999999998</v>
      </c>
      <c r="C16" s="266">
        <v>28036875.600000001</v>
      </c>
      <c r="D16" s="266">
        <v>16245001.868400043</v>
      </c>
      <c r="E16" s="266">
        <v>6112178.8745269822</v>
      </c>
      <c r="F16" s="159">
        <f t="shared" si="0"/>
        <v>0.57941555614706375</v>
      </c>
      <c r="G16" s="160">
        <f t="shared" si="1"/>
        <v>15016.716109641871</v>
      </c>
    </row>
    <row r="17" spans="1:7" x14ac:dyDescent="0.3">
      <c r="A17" s="157" t="s">
        <v>9</v>
      </c>
      <c r="B17" s="158">
        <v>17.45</v>
      </c>
      <c r="C17" s="266">
        <v>986649.85</v>
      </c>
      <c r="D17" s="266">
        <v>175229.01335999998</v>
      </c>
      <c r="E17" s="266">
        <v>664579.60600000003</v>
      </c>
      <c r="F17" s="159">
        <f t="shared" si="0"/>
        <v>0.17759999999999998</v>
      </c>
      <c r="G17" s="160">
        <f t="shared" si="1"/>
        <v>38084.791174785103</v>
      </c>
    </row>
    <row r="18" spans="1:7" x14ac:dyDescent="0.3">
      <c r="A18" s="157" t="s">
        <v>21</v>
      </c>
      <c r="B18" s="158">
        <v>53.349999999999994</v>
      </c>
      <c r="C18" s="266">
        <v>3414528.0925930506</v>
      </c>
      <c r="D18" s="266">
        <v>1300666.3043439595</v>
      </c>
      <c r="E18" s="266">
        <v>817265.50650000025</v>
      </c>
      <c r="F18" s="159">
        <f t="shared" si="0"/>
        <v>0.38092124858056492</v>
      </c>
      <c r="G18" s="160">
        <f t="shared" si="1"/>
        <v>15318.941077788197</v>
      </c>
    </row>
    <row r="19" spans="1:7" x14ac:dyDescent="0.3">
      <c r="A19" s="157" t="s">
        <v>22</v>
      </c>
      <c r="B19" s="158">
        <v>82</v>
      </c>
      <c r="C19" s="266">
        <v>4309544.9312664587</v>
      </c>
      <c r="D19" s="266">
        <v>980370.01774931583</v>
      </c>
      <c r="E19" s="266">
        <v>478324.49999999942</v>
      </c>
      <c r="F19" s="159">
        <f t="shared" si="0"/>
        <v>0.22748806042990055</v>
      </c>
      <c r="G19" s="160">
        <f t="shared" si="1"/>
        <v>5833.2256097560903</v>
      </c>
    </row>
    <row r="20" spans="1:7" x14ac:dyDescent="0.3">
      <c r="A20" s="157" t="s">
        <v>10</v>
      </c>
      <c r="B20" s="158">
        <v>9.4999999999999964</v>
      </c>
      <c r="C20" s="266">
        <v>728000.46</v>
      </c>
      <c r="D20" s="266">
        <v>130676.08256999997</v>
      </c>
      <c r="E20" s="266">
        <v>163074.14920000001</v>
      </c>
      <c r="F20" s="159">
        <f t="shared" si="0"/>
        <v>0.17949999999999997</v>
      </c>
      <c r="G20" s="160">
        <f t="shared" si="1"/>
        <v>17165.699915789482</v>
      </c>
    </row>
    <row r="21" spans="1:7" x14ac:dyDescent="0.3">
      <c r="A21" s="157" t="s">
        <v>43</v>
      </c>
      <c r="B21" s="158">
        <v>391</v>
      </c>
      <c r="C21" s="266">
        <v>28310240.534950025</v>
      </c>
      <c r="D21" s="266">
        <v>14146318.122306006</v>
      </c>
      <c r="E21" s="266">
        <v>7713460.679999941</v>
      </c>
      <c r="F21" s="159">
        <f t="shared" si="0"/>
        <v>0.49968908264279349</v>
      </c>
      <c r="G21" s="160">
        <f t="shared" si="1"/>
        <v>19727.520920715961</v>
      </c>
    </row>
    <row r="22" spans="1:7" x14ac:dyDescent="0.3">
      <c r="A22" s="157" t="s">
        <v>23</v>
      </c>
      <c r="B22" s="158">
        <v>73</v>
      </c>
      <c r="C22" s="266">
        <v>4717897.5999999996</v>
      </c>
      <c r="D22" s="266">
        <v>783279.49920000008</v>
      </c>
      <c r="E22" s="266">
        <v>1242187.97</v>
      </c>
      <c r="F22" s="159">
        <f t="shared" si="0"/>
        <v>0.16602299702308082</v>
      </c>
      <c r="G22" s="160">
        <f t="shared" si="1"/>
        <v>17016.273561643837</v>
      </c>
    </row>
    <row r="23" spans="1:7" x14ac:dyDescent="0.3">
      <c r="A23" s="157" t="s">
        <v>24</v>
      </c>
      <c r="B23" s="158">
        <v>29.099999999999998</v>
      </c>
      <c r="C23" s="266">
        <v>1914649.4300000002</v>
      </c>
      <c r="D23" s="266">
        <v>573820.43417100003</v>
      </c>
      <c r="E23" s="266">
        <v>427386.82575000013</v>
      </c>
      <c r="F23" s="159">
        <f t="shared" si="0"/>
        <v>0.29969999999999997</v>
      </c>
      <c r="G23" s="160">
        <f t="shared" si="1"/>
        <v>14686.832500000006</v>
      </c>
    </row>
    <row r="24" spans="1:7" x14ac:dyDescent="0.3">
      <c r="A24" s="157" t="s">
        <v>11</v>
      </c>
      <c r="B24" s="158">
        <v>20</v>
      </c>
      <c r="C24" s="266">
        <v>1264863.7000000002</v>
      </c>
      <c r="D24" s="266">
        <v>191095.45751124993</v>
      </c>
      <c r="E24" s="266">
        <v>186674.65754999992</v>
      </c>
      <c r="F24" s="159">
        <f t="shared" si="0"/>
        <v>0.15107988118502405</v>
      </c>
      <c r="G24" s="160">
        <f t="shared" si="1"/>
        <v>9333.7328774999951</v>
      </c>
    </row>
    <row r="25" spans="1:7" x14ac:dyDescent="0.3">
      <c r="A25" s="157" t="s">
        <v>54</v>
      </c>
      <c r="B25" s="158">
        <v>3385</v>
      </c>
      <c r="C25" s="266">
        <v>276316190.44520688</v>
      </c>
      <c r="D25" s="266">
        <v>88869153.27654469</v>
      </c>
      <c r="E25" s="266">
        <v>104111987.22538982</v>
      </c>
      <c r="F25" s="159">
        <f t="shared" si="0"/>
        <v>0.32162123085642108</v>
      </c>
      <c r="G25" s="160">
        <f t="shared" si="1"/>
        <v>30756.864763778383</v>
      </c>
    </row>
    <row r="26" spans="1:7" x14ac:dyDescent="0.3">
      <c r="A26" s="157" t="s">
        <v>25</v>
      </c>
      <c r="B26" s="158">
        <v>81.86</v>
      </c>
      <c r="C26" s="266">
        <v>5737458.1459999997</v>
      </c>
      <c r="D26" s="266">
        <v>2316376.3234734396</v>
      </c>
      <c r="E26" s="266">
        <v>973467.70645049971</v>
      </c>
      <c r="F26" s="159">
        <f t="shared" si="0"/>
        <v>0.40372866599268431</v>
      </c>
      <c r="G26" s="160">
        <f t="shared" si="1"/>
        <v>11891.860572324696</v>
      </c>
    </row>
    <row r="27" spans="1:7" x14ac:dyDescent="0.3">
      <c r="A27" s="157" t="s">
        <v>26</v>
      </c>
      <c r="B27" s="158">
        <v>73.026666666666685</v>
      </c>
      <c r="C27" s="266">
        <v>6006074.4629166666</v>
      </c>
      <c r="D27" s="266">
        <v>1275511.8143256665</v>
      </c>
      <c r="E27" s="266">
        <v>1418409.3611999995</v>
      </c>
      <c r="F27" s="159">
        <f t="shared" si="0"/>
        <v>0.21237029647252378</v>
      </c>
      <c r="G27" s="160">
        <f t="shared" si="1"/>
        <v>19423.169999999987</v>
      </c>
    </row>
    <row r="28" spans="1:7" x14ac:dyDescent="0.3">
      <c r="A28" s="157" t="s">
        <v>12</v>
      </c>
      <c r="B28" s="158">
        <v>8.1999999999999993</v>
      </c>
      <c r="C28" s="266">
        <v>497084.65</v>
      </c>
      <c r="D28" s="266">
        <v>140865.91654699997</v>
      </c>
      <c r="E28" s="266">
        <v>123882.00820000001</v>
      </c>
      <c r="F28" s="159">
        <f t="shared" si="0"/>
        <v>0.28338416112225545</v>
      </c>
      <c r="G28" s="160">
        <f t="shared" si="1"/>
        <v>15107.561975609759</v>
      </c>
    </row>
    <row r="29" spans="1:7" x14ac:dyDescent="0.3">
      <c r="A29" s="157" t="s">
        <v>27</v>
      </c>
      <c r="B29" s="158">
        <v>41.199999999999996</v>
      </c>
      <c r="C29" s="266">
        <v>3301158.5200000005</v>
      </c>
      <c r="D29" s="266">
        <v>1563355.3918323603</v>
      </c>
      <c r="E29" s="266">
        <v>770860</v>
      </c>
      <c r="F29" s="159">
        <f t="shared" si="0"/>
        <v>0.47357780075110117</v>
      </c>
      <c r="G29" s="160">
        <f t="shared" si="1"/>
        <v>18710.194174757282</v>
      </c>
    </row>
    <row r="30" spans="1:7" x14ac:dyDescent="0.3">
      <c r="A30" s="157" t="s">
        <v>28</v>
      </c>
      <c r="B30" s="158">
        <v>101</v>
      </c>
      <c r="C30" s="266">
        <v>6612099.9400000004</v>
      </c>
      <c r="D30" s="266">
        <v>3143421.8714979999</v>
      </c>
      <c r="E30" s="266">
        <v>1768953.9493999989</v>
      </c>
      <c r="F30" s="159">
        <f t="shared" si="0"/>
        <v>0.47540447059516161</v>
      </c>
      <c r="G30" s="160">
        <f t="shared" si="1"/>
        <v>17514.395538613851</v>
      </c>
    </row>
    <row r="31" spans="1:7" x14ac:dyDescent="0.3">
      <c r="A31" s="157" t="s">
        <v>13</v>
      </c>
      <c r="B31" s="158">
        <v>8</v>
      </c>
      <c r="C31" s="266">
        <v>467195.26</v>
      </c>
      <c r="D31" s="266">
        <v>162078.35606200004</v>
      </c>
      <c r="E31" s="266">
        <v>146434.60700400002</v>
      </c>
      <c r="F31" s="159">
        <f t="shared" si="0"/>
        <v>0.34691780918753334</v>
      </c>
      <c r="G31" s="160">
        <f t="shared" si="1"/>
        <v>18304.325875500002</v>
      </c>
    </row>
    <row r="32" spans="1:7" x14ac:dyDescent="0.3">
      <c r="A32" s="157" t="s">
        <v>14</v>
      </c>
      <c r="B32" s="158">
        <v>7.3999999999999995</v>
      </c>
      <c r="C32" s="266">
        <v>441784.92447053787</v>
      </c>
      <c r="D32" s="266">
        <v>134672.00068095932</v>
      </c>
      <c r="E32" s="266">
        <v>171468.93416917592</v>
      </c>
      <c r="F32" s="159">
        <f t="shared" si="0"/>
        <v>0.30483611644819819</v>
      </c>
      <c r="G32" s="160">
        <f t="shared" si="1"/>
        <v>23171.477590429178</v>
      </c>
    </row>
    <row r="33" spans="1:7" x14ac:dyDescent="0.3">
      <c r="A33" s="157" t="s">
        <v>44</v>
      </c>
      <c r="B33" s="158">
        <v>140.79999999999998</v>
      </c>
      <c r="C33" s="266">
        <v>10001348.080000002</v>
      </c>
      <c r="D33" s="266">
        <v>1685977.0799040005</v>
      </c>
      <c r="E33" s="266">
        <v>3654450.5930159972</v>
      </c>
      <c r="F33" s="159">
        <f t="shared" si="0"/>
        <v>0.1685749827341276</v>
      </c>
      <c r="G33" s="160">
        <f t="shared" si="1"/>
        <v>25954.904779943165</v>
      </c>
    </row>
    <row r="34" spans="1:7" x14ac:dyDescent="0.3">
      <c r="A34" s="157" t="s">
        <v>29</v>
      </c>
      <c r="B34" s="158">
        <v>47.4</v>
      </c>
      <c r="C34" s="266">
        <v>3728637.1</v>
      </c>
      <c r="D34" s="266">
        <v>1050141.10087</v>
      </c>
      <c r="E34" s="266">
        <v>1063661.1119999993</v>
      </c>
      <c r="F34" s="159">
        <f t="shared" si="0"/>
        <v>0.28164207797803653</v>
      </c>
      <c r="G34" s="160">
        <f t="shared" si="1"/>
        <v>22440.107848101252</v>
      </c>
    </row>
    <row r="35" spans="1:7" x14ac:dyDescent="0.3">
      <c r="A35" s="157" t="s">
        <v>30</v>
      </c>
      <c r="B35" s="158">
        <v>38.279999999999987</v>
      </c>
      <c r="C35" s="266">
        <v>2403673.5774901337</v>
      </c>
      <c r="D35" s="266">
        <v>1157025.0870875723</v>
      </c>
      <c r="E35" s="266">
        <v>727246.34800000023</v>
      </c>
      <c r="F35" s="159">
        <f t="shared" si="0"/>
        <v>0.48135699369617152</v>
      </c>
      <c r="G35" s="160">
        <f t="shared" si="1"/>
        <v>18998.075966562184</v>
      </c>
    </row>
    <row r="36" spans="1:7" x14ac:dyDescent="0.3">
      <c r="A36" s="157" t="s">
        <v>55</v>
      </c>
      <c r="B36" s="158">
        <v>1105.2567451923087</v>
      </c>
      <c r="C36" s="266">
        <v>97656220.865359649</v>
      </c>
      <c r="D36" s="266">
        <v>39993692.986638814</v>
      </c>
      <c r="E36" s="266">
        <v>15065620.367820432</v>
      </c>
      <c r="F36" s="159">
        <f t="shared" si="0"/>
        <v>0.4095355383634886</v>
      </c>
      <c r="G36" s="160">
        <f t="shared" si="1"/>
        <v>13630.878466341408</v>
      </c>
    </row>
    <row r="37" spans="1:7" x14ac:dyDescent="0.3">
      <c r="A37" s="157" t="s">
        <v>31</v>
      </c>
      <c r="B37" s="158">
        <v>122.8</v>
      </c>
      <c r="C37" s="266">
        <v>10592100.961724898</v>
      </c>
      <c r="D37" s="266">
        <v>4046496.4715076974</v>
      </c>
      <c r="E37" s="266">
        <v>3180857.2597926008</v>
      </c>
      <c r="F37" s="159">
        <f t="shared" si="0"/>
        <v>0.38202963568133658</v>
      </c>
      <c r="G37" s="160">
        <f t="shared" si="1"/>
        <v>25902.746415249192</v>
      </c>
    </row>
    <row r="38" spans="1:7" x14ac:dyDescent="0.3">
      <c r="A38" s="157" t="s">
        <v>15</v>
      </c>
      <c r="B38" s="158">
        <v>6.1999999999999993</v>
      </c>
      <c r="C38" s="266">
        <v>319502.06960000016</v>
      </c>
      <c r="D38" s="266">
        <v>112816.18077576005</v>
      </c>
      <c r="E38" s="266">
        <v>123611.65399999998</v>
      </c>
      <c r="F38" s="159">
        <f t="shared" si="0"/>
        <v>0.35309999999999997</v>
      </c>
      <c r="G38" s="160">
        <f t="shared" si="1"/>
        <v>19937.363548387097</v>
      </c>
    </row>
    <row r="39" spans="1:7" x14ac:dyDescent="0.3">
      <c r="A39" s="157" t="s">
        <v>56</v>
      </c>
      <c r="B39" s="158">
        <v>914.33999999999992</v>
      </c>
      <c r="C39" s="266">
        <v>77666932.415000334</v>
      </c>
      <c r="D39" s="266">
        <v>30146996.381887008</v>
      </c>
      <c r="E39" s="266">
        <v>19226252.683477573</v>
      </c>
      <c r="F39" s="159">
        <f t="shared" si="0"/>
        <v>0.38815742355834976</v>
      </c>
      <c r="G39" s="160">
        <f t="shared" si="1"/>
        <v>21027.465366797445</v>
      </c>
    </row>
    <row r="40" spans="1:7" x14ac:dyDescent="0.3">
      <c r="A40" s="157" t="s">
        <v>57</v>
      </c>
      <c r="B40" s="158">
        <v>560.77999999999986</v>
      </c>
      <c r="C40" s="266">
        <v>51596264.837236017</v>
      </c>
      <c r="D40" s="266">
        <v>21291996.145987783</v>
      </c>
      <c r="E40" s="266">
        <v>14038663.531639243</v>
      </c>
      <c r="F40" s="159">
        <f t="shared" si="0"/>
        <v>0.41266545578744618</v>
      </c>
      <c r="G40" s="160">
        <f t="shared" si="1"/>
        <v>25034.172994113997</v>
      </c>
    </row>
    <row r="41" spans="1:7" x14ac:dyDescent="0.3">
      <c r="A41" s="157" t="s">
        <v>16</v>
      </c>
      <c r="B41" s="158">
        <v>26.3</v>
      </c>
      <c r="C41" s="266">
        <v>2030280.014</v>
      </c>
      <c r="D41" s="266">
        <v>352862.66643319989</v>
      </c>
      <c r="E41" s="266">
        <v>314025.6574373474</v>
      </c>
      <c r="F41" s="159">
        <f t="shared" si="0"/>
        <v>0.17379999999999995</v>
      </c>
      <c r="G41" s="160">
        <f t="shared" si="1"/>
        <v>11940.139066058837</v>
      </c>
    </row>
    <row r="42" spans="1:7" x14ac:dyDescent="0.3">
      <c r="A42" s="157" t="s">
        <v>58</v>
      </c>
      <c r="B42" s="158">
        <v>885.29</v>
      </c>
      <c r="C42" s="266">
        <v>68332980.920080066</v>
      </c>
      <c r="D42" s="266">
        <v>19403783.904585838</v>
      </c>
      <c r="E42" s="266">
        <v>13259921.75151019</v>
      </c>
      <c r="F42" s="159">
        <f t="shared" si="0"/>
        <v>0.28395927769168805</v>
      </c>
      <c r="G42" s="160">
        <f t="shared" si="1"/>
        <v>14978.054368071695</v>
      </c>
    </row>
    <row r="43" spans="1:7" x14ac:dyDescent="0.3">
      <c r="A43" s="157" t="s">
        <v>59</v>
      </c>
      <c r="B43" s="158">
        <v>919.36000000000047</v>
      </c>
      <c r="C43" s="266">
        <v>72392832.719999969</v>
      </c>
      <c r="D43" s="266">
        <v>37581359.908359632</v>
      </c>
      <c r="E43" s="266">
        <v>20570445.195745718</v>
      </c>
      <c r="F43" s="159">
        <f t="shared" si="0"/>
        <v>0.51913094841469065</v>
      </c>
      <c r="G43" s="160">
        <f t="shared" si="1"/>
        <v>22374.74460031512</v>
      </c>
    </row>
    <row r="44" spans="1:7" x14ac:dyDescent="0.3">
      <c r="A44" s="157" t="s">
        <v>60</v>
      </c>
      <c r="B44" s="158">
        <v>332.8</v>
      </c>
      <c r="C44" s="266">
        <v>34678810.27600003</v>
      </c>
      <c r="D44" s="266">
        <v>8508772.9771564063</v>
      </c>
      <c r="E44" s="266">
        <v>12344564.744448395</v>
      </c>
      <c r="F44" s="159">
        <f t="shared" si="0"/>
        <v>0.24535942581181988</v>
      </c>
      <c r="G44" s="160">
        <f t="shared" si="1"/>
        <v>37093.043102308882</v>
      </c>
    </row>
    <row r="45" spans="1:7" x14ac:dyDescent="0.3">
      <c r="A45" s="157" t="s">
        <v>45</v>
      </c>
      <c r="B45" s="158">
        <v>286.71499999999986</v>
      </c>
      <c r="C45" s="266">
        <v>21426980.002600018</v>
      </c>
      <c r="D45" s="266">
        <v>10727646.119475208</v>
      </c>
      <c r="E45" s="266">
        <v>4639674.5838000011</v>
      </c>
      <c r="F45" s="159">
        <f t="shared" si="0"/>
        <v>0.50066066791369956</v>
      </c>
      <c r="G45" s="160">
        <f t="shared" si="1"/>
        <v>16182.1829475263</v>
      </c>
    </row>
    <row r="46" spans="1:7" x14ac:dyDescent="0.3">
      <c r="A46" s="157" t="s">
        <v>32</v>
      </c>
      <c r="B46" s="158">
        <v>112.2</v>
      </c>
      <c r="C46" s="266">
        <v>9194409</v>
      </c>
      <c r="D46" s="266">
        <v>4239776.4036999997</v>
      </c>
      <c r="E46" s="266">
        <v>1410367.1399600005</v>
      </c>
      <c r="F46" s="159">
        <f t="shared" si="0"/>
        <v>0.46112549525477925</v>
      </c>
      <c r="G46" s="160">
        <f t="shared" si="1"/>
        <v>12570.117111942964</v>
      </c>
    </row>
    <row r="47" spans="1:7" x14ac:dyDescent="0.3">
      <c r="A47" s="157" t="s">
        <v>46</v>
      </c>
      <c r="B47" s="158">
        <v>205.10000000000002</v>
      </c>
      <c r="C47" s="266">
        <v>19039632</v>
      </c>
      <c r="D47" s="266">
        <v>6366410.6292999955</v>
      </c>
      <c r="E47" s="266">
        <v>3911257</v>
      </c>
      <c r="F47" s="159">
        <f t="shared" si="0"/>
        <v>0.33437676890498702</v>
      </c>
      <c r="G47" s="160">
        <f t="shared" si="1"/>
        <v>19069.999999999996</v>
      </c>
    </row>
    <row r="48" spans="1:7" x14ac:dyDescent="0.3">
      <c r="A48" s="157" t="s">
        <v>47</v>
      </c>
      <c r="B48" s="158">
        <v>179.35000000000002</v>
      </c>
      <c r="C48" s="266">
        <v>13716637.349999992</v>
      </c>
      <c r="D48" s="266">
        <v>5797510.2956000008</v>
      </c>
      <c r="E48" s="266">
        <v>2360467.9501755</v>
      </c>
      <c r="F48" s="159">
        <f t="shared" si="0"/>
        <v>0.42266265030328326</v>
      </c>
      <c r="G48" s="160">
        <f t="shared" si="1"/>
        <v>13161.237525372175</v>
      </c>
    </row>
    <row r="49" spans="1:7" x14ac:dyDescent="0.3">
      <c r="A49" s="157" t="s">
        <v>61</v>
      </c>
      <c r="B49" s="158">
        <v>392.44999999999993</v>
      </c>
      <c r="C49" s="266">
        <v>39209012.038781881</v>
      </c>
      <c r="D49" s="266">
        <v>13749967.829501128</v>
      </c>
      <c r="E49" s="266">
        <v>9093967.5541480966</v>
      </c>
      <c r="F49" s="159">
        <f t="shared" si="0"/>
        <v>0.35068386359495485</v>
      </c>
      <c r="G49" s="160">
        <f t="shared" si="1"/>
        <v>23172.295971838699</v>
      </c>
    </row>
    <row r="50" spans="1:7" x14ac:dyDescent="0.3">
      <c r="A50" s="157" t="s">
        <v>33</v>
      </c>
      <c r="B50" s="158">
        <v>105.35</v>
      </c>
      <c r="C50" s="266">
        <v>8449206.4038305655</v>
      </c>
      <c r="D50" s="266">
        <v>3104618.089462088</v>
      </c>
      <c r="E50" s="266">
        <v>1983099.2694751814</v>
      </c>
      <c r="F50" s="159">
        <f t="shared" si="0"/>
        <v>0.36744493400641343</v>
      </c>
      <c r="G50" s="160">
        <f t="shared" si="1"/>
        <v>18823.913331515723</v>
      </c>
    </row>
    <row r="51" spans="1:7" x14ac:dyDescent="0.3">
      <c r="A51" s="157" t="s">
        <v>34</v>
      </c>
      <c r="B51" s="158">
        <v>113.19999999999999</v>
      </c>
      <c r="C51" s="266">
        <v>7781800.9899999965</v>
      </c>
      <c r="D51" s="266">
        <v>1206513.06813</v>
      </c>
      <c r="E51" s="266">
        <v>2456095.0601786235</v>
      </c>
      <c r="F51" s="159">
        <f t="shared" si="0"/>
        <v>0.15504290969152637</v>
      </c>
      <c r="G51" s="160">
        <f t="shared" si="1"/>
        <v>21696.952828433074</v>
      </c>
    </row>
    <row r="52" spans="1:7" x14ac:dyDescent="0.3">
      <c r="A52" s="157" t="s">
        <v>17</v>
      </c>
      <c r="B52" s="158">
        <v>3.129999999999999</v>
      </c>
      <c r="C52" s="266">
        <v>138631.66000000003</v>
      </c>
      <c r="D52" s="266">
        <v>39255.661512000006</v>
      </c>
      <c r="E52" s="266">
        <v>57470.677241999998</v>
      </c>
      <c r="F52" s="159">
        <f t="shared" si="0"/>
        <v>0.28316519842581411</v>
      </c>
      <c r="G52" s="160">
        <f t="shared" si="1"/>
        <v>18361.238735463263</v>
      </c>
    </row>
    <row r="53" spans="1:7" x14ac:dyDescent="0.3">
      <c r="A53" s="157" t="s">
        <v>35</v>
      </c>
      <c r="B53" s="158">
        <v>24.300000000000018</v>
      </c>
      <c r="C53" s="266">
        <v>1729201.2500000002</v>
      </c>
      <c r="D53" s="266">
        <v>783846.92662499985</v>
      </c>
      <c r="E53" s="266">
        <v>661984.34367500036</v>
      </c>
      <c r="F53" s="159">
        <f t="shared" si="0"/>
        <v>0.45329999999999987</v>
      </c>
      <c r="G53" s="160">
        <f t="shared" si="1"/>
        <v>27242.154060699584</v>
      </c>
    </row>
    <row r="54" spans="1:7" x14ac:dyDescent="0.3">
      <c r="A54" s="157" t="s">
        <v>48</v>
      </c>
      <c r="B54" s="158">
        <v>168.5</v>
      </c>
      <c r="C54" s="266">
        <v>13141355.813875647</v>
      </c>
      <c r="D54" s="266">
        <v>6486534.4201189708</v>
      </c>
      <c r="E54" s="266">
        <v>3277541.0009999941</v>
      </c>
      <c r="F54" s="159">
        <f t="shared" si="0"/>
        <v>0.49359704675753413</v>
      </c>
      <c r="G54" s="160">
        <f t="shared" si="1"/>
        <v>19451.281905044474</v>
      </c>
    </row>
    <row r="55" spans="1:7" x14ac:dyDescent="0.3">
      <c r="A55" s="157" t="s">
        <v>49</v>
      </c>
      <c r="B55" s="158">
        <v>137</v>
      </c>
      <c r="C55" s="266">
        <v>11522354.815016408</v>
      </c>
      <c r="D55" s="266">
        <v>4434231.8506563203</v>
      </c>
      <c r="E55" s="266">
        <v>3235766.6768305916</v>
      </c>
      <c r="F55" s="159">
        <f t="shared" si="0"/>
        <v>0.38483729427229985</v>
      </c>
      <c r="G55" s="160">
        <f t="shared" si="1"/>
        <v>23618.734867376581</v>
      </c>
    </row>
    <row r="56" spans="1:7" x14ac:dyDescent="0.3">
      <c r="A56" s="157" t="s">
        <v>50</v>
      </c>
      <c r="B56" s="158">
        <v>198.16981000000041</v>
      </c>
      <c r="C56" s="266">
        <v>14322166.359079437</v>
      </c>
      <c r="D56" s="266">
        <v>5138563.8799138507</v>
      </c>
      <c r="E56" s="266">
        <v>3855508.0799291916</v>
      </c>
      <c r="F56" s="159">
        <f t="shared" si="0"/>
        <v>0.35878398219109459</v>
      </c>
      <c r="G56" s="160">
        <f t="shared" si="1"/>
        <v>19455.577415799024</v>
      </c>
    </row>
    <row r="57" spans="1:7" x14ac:dyDescent="0.3">
      <c r="A57" s="157" t="s">
        <v>36</v>
      </c>
      <c r="B57" s="158">
        <v>38.299999999999997</v>
      </c>
      <c r="C57" s="266">
        <v>2427122.921000001</v>
      </c>
      <c r="D57" s="266">
        <v>1019920.3355929999</v>
      </c>
      <c r="E57" s="266">
        <v>1014470.9851935483</v>
      </c>
      <c r="F57" s="159">
        <f t="shared" si="0"/>
        <v>0.42021783353798237</v>
      </c>
      <c r="G57" s="160">
        <f t="shared" si="1"/>
        <v>26487.493085993428</v>
      </c>
    </row>
    <row r="58" spans="1:7" x14ac:dyDescent="0.3">
      <c r="A58" s="157" t="s">
        <v>37</v>
      </c>
      <c r="B58" s="158">
        <v>34.9</v>
      </c>
      <c r="C58" s="266">
        <v>2127416.9035000005</v>
      </c>
      <c r="D58" s="266">
        <v>826333.22263817035</v>
      </c>
      <c r="E58" s="266">
        <v>831314.10580699961</v>
      </c>
      <c r="F58" s="159">
        <f t="shared" si="0"/>
        <v>0.38842091612541807</v>
      </c>
      <c r="G58" s="160">
        <f t="shared" si="1"/>
        <v>23819.888418538671</v>
      </c>
    </row>
    <row r="59" spans="1:7" x14ac:dyDescent="0.3">
      <c r="A59" s="157" t="s">
        <v>18</v>
      </c>
      <c r="B59" s="158">
        <v>6.96</v>
      </c>
      <c r="C59" s="266">
        <v>536603.96100000001</v>
      </c>
      <c r="D59" s="266">
        <v>246119.69655700002</v>
      </c>
      <c r="E59" s="266">
        <v>81282.779999999984</v>
      </c>
      <c r="F59" s="159">
        <f t="shared" si="0"/>
        <v>0.45866172157644586</v>
      </c>
      <c r="G59" s="160">
        <f t="shared" si="1"/>
        <v>11678.560344827583</v>
      </c>
    </row>
    <row r="60" spans="1:7" x14ac:dyDescent="0.3">
      <c r="A60" s="157" t="s">
        <v>51</v>
      </c>
      <c r="B60" s="158">
        <v>214.75</v>
      </c>
      <c r="C60" s="266">
        <v>14055718.982000014</v>
      </c>
      <c r="D60" s="266">
        <v>4270331.723830997</v>
      </c>
      <c r="E60" s="266">
        <v>7321350.9159938889</v>
      </c>
      <c r="F60" s="159">
        <f t="shared" si="0"/>
        <v>0.30381453480249959</v>
      </c>
      <c r="G60" s="160">
        <f t="shared" si="1"/>
        <v>34092.437327096108</v>
      </c>
    </row>
    <row r="61" spans="1:7" x14ac:dyDescent="0.3">
      <c r="A61" s="157" t="s">
        <v>38</v>
      </c>
      <c r="B61" s="158">
        <v>33</v>
      </c>
      <c r="C61" s="266">
        <v>2069346.4</v>
      </c>
      <c r="D61" s="266">
        <v>567118.4050416</v>
      </c>
      <c r="E61" s="266">
        <v>1040365.5729999999</v>
      </c>
      <c r="F61" s="159">
        <f t="shared" si="0"/>
        <v>0.27405677707782516</v>
      </c>
      <c r="G61" s="160">
        <f t="shared" si="1"/>
        <v>31526.229484848482</v>
      </c>
    </row>
    <row r="62" spans="1:7" x14ac:dyDescent="0.3">
      <c r="A62" s="157" t="s">
        <v>52</v>
      </c>
      <c r="B62" s="158">
        <v>284.21119999999996</v>
      </c>
      <c r="C62" s="266">
        <v>23522600.161183979</v>
      </c>
      <c r="D62" s="266">
        <v>6200028.3662608983</v>
      </c>
      <c r="E62" s="266">
        <v>4600436.0963105885</v>
      </c>
      <c r="F62" s="159">
        <f t="shared" si="0"/>
        <v>0.26357750944948377</v>
      </c>
      <c r="G62" s="160">
        <f t="shared" si="1"/>
        <v>16186.681229700269</v>
      </c>
    </row>
    <row r="63" spans="1:7" x14ac:dyDescent="0.3">
      <c r="A63" s="157" t="s">
        <v>39</v>
      </c>
      <c r="B63" s="158">
        <v>92</v>
      </c>
      <c r="C63" s="266">
        <v>6783115.6749999989</v>
      </c>
      <c r="D63" s="266">
        <v>2411865.6574440757</v>
      </c>
      <c r="E63" s="266">
        <v>2406526.9293469996</v>
      </c>
      <c r="F63" s="159">
        <f t="shared" si="0"/>
        <v>0.35556900000000013</v>
      </c>
      <c r="G63" s="160">
        <f t="shared" si="1"/>
        <v>26157.901405945649</v>
      </c>
    </row>
    <row r="64" spans="1:7" x14ac:dyDescent="0.3">
      <c r="A64" s="157" t="s">
        <v>40</v>
      </c>
      <c r="B64" s="158">
        <v>41.750000000000014</v>
      </c>
      <c r="C64" s="266">
        <v>2824398.350000001</v>
      </c>
      <c r="D64" s="266">
        <v>312660.89734499995</v>
      </c>
      <c r="E64" s="266">
        <v>733096.94374999998</v>
      </c>
      <c r="F64" s="159">
        <f t="shared" si="0"/>
        <v>0.11069999999999994</v>
      </c>
      <c r="G64" s="160">
        <f t="shared" si="1"/>
        <v>17559.208233532929</v>
      </c>
    </row>
    <row r="65" spans="1:7" s="112" customFormat="1" ht="15" thickBot="1" x14ac:dyDescent="0.35">
      <c r="A65" s="98" t="s">
        <v>174</v>
      </c>
      <c r="B65" s="166">
        <f>SUM(B7:B64)</f>
        <v>13523.764421858972</v>
      </c>
      <c r="C65" s="77">
        <f t="shared" ref="C65:E65" si="2">SUM(C7:C64)</f>
        <v>1099577515.6413805</v>
      </c>
      <c r="D65" s="77">
        <f t="shared" si="2"/>
        <v>401884381.54241222</v>
      </c>
      <c r="E65" s="77">
        <f t="shared" si="2"/>
        <v>306072853.84499878</v>
      </c>
      <c r="F65" s="167">
        <f t="shared" si="0"/>
        <v>0.36548981388364798</v>
      </c>
      <c r="G65" s="77">
        <f t="shared" ref="G65" si="3">(E65)/B65</f>
        <v>22632.22312200896</v>
      </c>
    </row>
    <row r="66" spans="1:7" ht="15" thickTop="1" x14ac:dyDescent="0.3">
      <c r="D66" s="162"/>
      <c r="G66" s="161"/>
    </row>
    <row r="67" spans="1:7" x14ac:dyDescent="0.3">
      <c r="B67" s="163"/>
      <c r="C67" s="163"/>
      <c r="D67" s="163"/>
    </row>
    <row r="68" spans="1:7" x14ac:dyDescent="0.3">
      <c r="D68" s="162"/>
    </row>
  </sheetData>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tabColor rgb="FF92D050"/>
    <pageSetUpPr fitToPage="1"/>
  </sheetPr>
  <dimension ref="A1:G68"/>
  <sheetViews>
    <sheetView zoomScaleNormal="100" workbookViewId="0">
      <pane xSplit="1" ySplit="6" topLeftCell="B43" activePane="bottomRight" state="frozen"/>
      <selection pane="topRight" activeCell="B1" sqref="B1"/>
      <selection pane="bottomLeft" activeCell="A7" sqref="A7"/>
      <selection pane="bottomRight" activeCell="F57" sqref="F57"/>
    </sheetView>
  </sheetViews>
  <sheetFormatPr defaultColWidth="9.21875" defaultRowHeight="14.4" x14ac:dyDescent="0.3"/>
  <cols>
    <col min="1" max="1" width="16.21875" style="53" customWidth="1"/>
    <col min="2" max="2" width="15.77734375" style="53" bestFit="1" customWidth="1"/>
    <col min="3" max="3" width="14.77734375" style="53" bestFit="1" customWidth="1"/>
    <col min="4" max="4" width="16.44140625" style="53" customWidth="1"/>
    <col min="5" max="5" width="16.21875" style="53" bestFit="1" customWidth="1"/>
    <col min="6" max="6" width="15.44140625" style="53" customWidth="1"/>
    <col min="7" max="7" width="16.21875" style="53" bestFit="1" customWidth="1"/>
    <col min="8" max="16384" width="9.21875" style="53"/>
  </cols>
  <sheetData>
    <row r="1" spans="1:7" ht="18" x14ac:dyDescent="0.3">
      <c r="A1" s="164" t="s">
        <v>128</v>
      </c>
    </row>
    <row r="2" spans="1:7" x14ac:dyDescent="0.3">
      <c r="A2" s="49" t="s">
        <v>248</v>
      </c>
    </row>
    <row r="4" spans="1:7" x14ac:dyDescent="0.3">
      <c r="B4" s="300" t="s">
        <v>232</v>
      </c>
      <c r="C4" s="301"/>
    </row>
    <row r="5" spans="1:7" ht="57.6" x14ac:dyDescent="0.3">
      <c r="A5" s="302" t="s">
        <v>63</v>
      </c>
      <c r="B5" s="202" t="s">
        <v>186</v>
      </c>
      <c r="C5" s="202" t="s">
        <v>185</v>
      </c>
      <c r="D5" s="42" t="s">
        <v>199</v>
      </c>
      <c r="E5" s="203" t="s">
        <v>200</v>
      </c>
      <c r="F5" s="42" t="s">
        <v>201</v>
      </c>
      <c r="G5" s="42" t="s">
        <v>202</v>
      </c>
    </row>
    <row r="6" spans="1:7" x14ac:dyDescent="0.3">
      <c r="A6" s="303"/>
      <c r="B6" s="78" t="s">
        <v>65</v>
      </c>
      <c r="C6" s="78" t="s">
        <v>1</v>
      </c>
      <c r="D6" s="78" t="s">
        <v>66</v>
      </c>
      <c r="E6" s="78" t="s">
        <v>2</v>
      </c>
      <c r="F6" s="78" t="s">
        <v>3</v>
      </c>
      <c r="G6" s="78" t="s">
        <v>83</v>
      </c>
    </row>
    <row r="7" spans="1:7" x14ac:dyDescent="0.3">
      <c r="A7" s="157" t="s">
        <v>53</v>
      </c>
      <c r="B7" s="158">
        <v>86.75</v>
      </c>
      <c r="C7" s="266">
        <v>10868033.771600001</v>
      </c>
      <c r="D7" s="266">
        <v>3456731.388319599</v>
      </c>
      <c r="E7" s="266">
        <v>1873792.6688579994</v>
      </c>
      <c r="F7" s="159">
        <f>D7/C7</f>
        <v>0.31806410073481917</v>
      </c>
      <c r="G7" s="160">
        <f>E7/B7</f>
        <v>21599.915491158496</v>
      </c>
    </row>
    <row r="8" spans="1:7" x14ac:dyDescent="0.3">
      <c r="A8" s="157" t="s">
        <v>4</v>
      </c>
      <c r="B8" s="158">
        <v>0.2</v>
      </c>
      <c r="C8" s="266">
        <v>14168.970000000001</v>
      </c>
      <c r="D8" s="266">
        <v>6946.4792322000012</v>
      </c>
      <c r="E8" s="266">
        <v>7237.9000000000015</v>
      </c>
      <c r="F8" s="159">
        <f t="shared" ref="F8:F65" si="0">D8/C8</f>
        <v>0.49026000000000003</v>
      </c>
      <c r="G8" s="160">
        <f t="shared" ref="G8:G65" si="1">E8/B8</f>
        <v>36189.500000000007</v>
      </c>
    </row>
    <row r="9" spans="1:7" x14ac:dyDescent="0.3">
      <c r="A9" s="157" t="s">
        <v>5</v>
      </c>
      <c r="B9" s="158">
        <v>4.8499999999999996</v>
      </c>
      <c r="C9" s="266">
        <v>450064.23499999999</v>
      </c>
      <c r="D9" s="266">
        <v>168414.03673700002</v>
      </c>
      <c r="E9" s="266">
        <v>57048.162000000004</v>
      </c>
      <c r="F9" s="159">
        <f t="shared" si="0"/>
        <v>0.37420000000000003</v>
      </c>
      <c r="G9" s="160">
        <f t="shared" si="1"/>
        <v>11762.50762886598</v>
      </c>
    </row>
    <row r="10" spans="1:7" x14ac:dyDescent="0.3">
      <c r="A10" s="157" t="s">
        <v>19</v>
      </c>
      <c r="B10" s="158">
        <v>18.540000000000003</v>
      </c>
      <c r="C10" s="266">
        <v>1351234.0136000002</v>
      </c>
      <c r="D10" s="266">
        <v>443914.87319660804</v>
      </c>
      <c r="E10" s="266">
        <v>302521.069278904</v>
      </c>
      <c r="F10" s="159">
        <f t="shared" si="0"/>
        <v>0.32852553201640927</v>
      </c>
      <c r="G10" s="160">
        <f t="shared" si="1"/>
        <v>16317.209777718661</v>
      </c>
    </row>
    <row r="11" spans="1:7" x14ac:dyDescent="0.3">
      <c r="A11" s="157" t="s">
        <v>6</v>
      </c>
      <c r="B11" s="158">
        <v>4</v>
      </c>
      <c r="C11" s="266">
        <v>371770.31999999995</v>
      </c>
      <c r="D11" s="266">
        <v>102430.15856639999</v>
      </c>
      <c r="E11" s="266">
        <v>82049.51999999999</v>
      </c>
      <c r="F11" s="159">
        <f t="shared" si="0"/>
        <v>0.27551999999999999</v>
      </c>
      <c r="G11" s="160">
        <f t="shared" si="1"/>
        <v>20512.379999999997</v>
      </c>
    </row>
    <row r="12" spans="1:7" x14ac:dyDescent="0.3">
      <c r="A12" s="157" t="s">
        <v>7</v>
      </c>
      <c r="B12" s="158">
        <v>3.45</v>
      </c>
      <c r="C12" s="266">
        <v>238599.9</v>
      </c>
      <c r="D12" s="266">
        <v>104281.39335</v>
      </c>
      <c r="E12" s="266">
        <v>52984.057499999995</v>
      </c>
      <c r="F12" s="159">
        <f t="shared" si="0"/>
        <v>0.43705547801989858</v>
      </c>
      <c r="G12" s="160">
        <f t="shared" si="1"/>
        <v>15357.697826086955</v>
      </c>
    </row>
    <row r="13" spans="1:7" x14ac:dyDescent="0.3">
      <c r="A13" s="157" t="s">
        <v>41</v>
      </c>
      <c r="B13" s="158">
        <v>43.86</v>
      </c>
      <c r="C13" s="266">
        <v>4293289.9075999986</v>
      </c>
      <c r="D13" s="266">
        <v>1479936.6975787601</v>
      </c>
      <c r="E13" s="266">
        <v>1086757.9610777893</v>
      </c>
      <c r="F13" s="159">
        <f t="shared" si="0"/>
        <v>0.34470923916853841</v>
      </c>
      <c r="G13" s="160">
        <f t="shared" si="1"/>
        <v>24777.883289507281</v>
      </c>
    </row>
    <row r="14" spans="1:7" x14ac:dyDescent="0.3">
      <c r="A14" s="157" t="s">
        <v>8</v>
      </c>
      <c r="B14" s="158">
        <v>3</v>
      </c>
      <c r="C14" s="266">
        <v>343156.34</v>
      </c>
      <c r="D14" s="266">
        <v>109226.66302199999</v>
      </c>
      <c r="E14" s="266">
        <v>86457.069999999992</v>
      </c>
      <c r="F14" s="159">
        <f t="shared" si="0"/>
        <v>0.31829999999999997</v>
      </c>
      <c r="G14" s="160">
        <f t="shared" si="1"/>
        <v>28819.023333333331</v>
      </c>
    </row>
    <row r="15" spans="1:7" x14ac:dyDescent="0.3">
      <c r="A15" s="157" t="s">
        <v>20</v>
      </c>
      <c r="B15" s="158">
        <v>8.6999999999999993</v>
      </c>
      <c r="C15" s="266">
        <v>858186.30800000008</v>
      </c>
      <c r="D15" s="266">
        <v>243424.54626420001</v>
      </c>
      <c r="E15" s="266">
        <v>151846.34554000001</v>
      </c>
      <c r="F15" s="159">
        <f t="shared" si="0"/>
        <v>0.28364999999999996</v>
      </c>
      <c r="G15" s="160">
        <f t="shared" si="1"/>
        <v>17453.602935632185</v>
      </c>
    </row>
    <row r="16" spans="1:7" x14ac:dyDescent="0.3">
      <c r="A16" s="157" t="s">
        <v>42</v>
      </c>
      <c r="B16" s="158">
        <v>60.600000000000009</v>
      </c>
      <c r="C16" s="266">
        <v>5374838</v>
      </c>
      <c r="D16" s="266">
        <v>3005336.6774000018</v>
      </c>
      <c r="E16" s="266">
        <v>884002.98720799992</v>
      </c>
      <c r="F16" s="159">
        <f t="shared" si="0"/>
        <v>0.55914925759622924</v>
      </c>
      <c r="G16" s="160">
        <f t="shared" si="1"/>
        <v>14587.508039735971</v>
      </c>
    </row>
    <row r="17" spans="1:7" x14ac:dyDescent="0.3">
      <c r="A17" s="157" t="s">
        <v>9</v>
      </c>
      <c r="B17" s="158">
        <v>1.55</v>
      </c>
      <c r="C17" s="266">
        <v>119917.15000000001</v>
      </c>
      <c r="D17" s="266">
        <v>21297.285840000004</v>
      </c>
      <c r="E17" s="266">
        <v>68915.394</v>
      </c>
      <c r="F17" s="159">
        <f t="shared" si="0"/>
        <v>0.17760000000000001</v>
      </c>
      <c r="G17" s="160">
        <f t="shared" si="1"/>
        <v>44461.544516129034</v>
      </c>
    </row>
    <row r="18" spans="1:7" x14ac:dyDescent="0.3">
      <c r="A18" s="157" t="s">
        <v>21</v>
      </c>
      <c r="B18" s="158">
        <v>11.083333333333332</v>
      </c>
      <c r="C18" s="266">
        <v>783446.67588871683</v>
      </c>
      <c r="D18" s="266">
        <v>306462.67089823674</v>
      </c>
      <c r="E18" s="266">
        <v>164370.66249999998</v>
      </c>
      <c r="F18" s="159">
        <f t="shared" si="0"/>
        <v>0.39117234181968452</v>
      </c>
      <c r="G18" s="160">
        <f t="shared" si="1"/>
        <v>14830.435714285713</v>
      </c>
    </row>
    <row r="19" spans="1:7" x14ac:dyDescent="0.3">
      <c r="A19" s="157" t="s">
        <v>22</v>
      </c>
      <c r="B19" s="158">
        <v>21.6</v>
      </c>
      <c r="C19" s="266">
        <v>1592611.9221544766</v>
      </c>
      <c r="D19" s="266">
        <v>365465.68103219784</v>
      </c>
      <c r="E19" s="266">
        <v>169454.19999999995</v>
      </c>
      <c r="F19" s="159">
        <f t="shared" si="0"/>
        <v>0.22947566569625943</v>
      </c>
      <c r="G19" s="160">
        <f t="shared" si="1"/>
        <v>7845.1018518518495</v>
      </c>
    </row>
    <row r="20" spans="1:7" x14ac:dyDescent="0.3">
      <c r="A20" s="157" t="s">
        <v>10</v>
      </c>
      <c r="B20" s="158">
        <v>3.2399999999999998</v>
      </c>
      <c r="C20" s="266">
        <v>213385.76920799998</v>
      </c>
      <c r="D20" s="266">
        <v>36109.151564411994</v>
      </c>
      <c r="E20" s="266">
        <v>54842.67538416</v>
      </c>
      <c r="F20" s="159">
        <f t="shared" si="0"/>
        <v>0.1692200548257472</v>
      </c>
      <c r="G20" s="160">
        <f t="shared" si="1"/>
        <v>16926.75166177778</v>
      </c>
    </row>
    <row r="21" spans="1:7" x14ac:dyDescent="0.3">
      <c r="A21" s="157" t="s">
        <v>43</v>
      </c>
      <c r="B21" s="158">
        <v>83</v>
      </c>
      <c r="C21" s="266">
        <v>7456901.973965412</v>
      </c>
      <c r="D21" s="266">
        <v>3812140.8097130521</v>
      </c>
      <c r="E21" s="266">
        <v>1675755.8200000031</v>
      </c>
      <c r="F21" s="159">
        <f t="shared" si="0"/>
        <v>0.51122313569663858</v>
      </c>
      <c r="G21" s="160">
        <f t="shared" si="1"/>
        <v>20189.829156626543</v>
      </c>
    </row>
    <row r="22" spans="1:7" x14ac:dyDescent="0.3">
      <c r="A22" s="157" t="s">
        <v>23</v>
      </c>
      <c r="B22" s="158">
        <v>14</v>
      </c>
      <c r="C22" s="266">
        <v>1081591.68</v>
      </c>
      <c r="D22" s="266">
        <v>180085.01472000001</v>
      </c>
      <c r="E22" s="266">
        <v>254041.94000000003</v>
      </c>
      <c r="F22" s="159">
        <f t="shared" si="0"/>
        <v>0.16650000000000001</v>
      </c>
      <c r="G22" s="160">
        <f t="shared" si="1"/>
        <v>18145.852857142858</v>
      </c>
    </row>
    <row r="23" spans="1:7" x14ac:dyDescent="0.3">
      <c r="A23" s="157" t="s">
        <v>24</v>
      </c>
      <c r="B23" s="158">
        <v>4</v>
      </c>
      <c r="C23" s="266">
        <v>324077</v>
      </c>
      <c r="D23" s="266">
        <v>97125.876900000017</v>
      </c>
      <c r="E23" s="266">
        <v>58747.330000000009</v>
      </c>
      <c r="F23" s="159">
        <f t="shared" si="0"/>
        <v>0.29970000000000008</v>
      </c>
      <c r="G23" s="160">
        <f t="shared" si="1"/>
        <v>14686.832500000002</v>
      </c>
    </row>
    <row r="24" spans="1:7" x14ac:dyDescent="0.3">
      <c r="A24" s="157" t="s">
        <v>11</v>
      </c>
      <c r="B24" s="158">
        <v>3.5</v>
      </c>
      <c r="C24" s="266">
        <v>262708.185</v>
      </c>
      <c r="D24" s="266">
        <v>41048.153906249994</v>
      </c>
      <c r="E24" s="266">
        <v>34773.041849999994</v>
      </c>
      <c r="F24" s="159">
        <f t="shared" si="0"/>
        <v>0.15624999999999997</v>
      </c>
      <c r="G24" s="160">
        <f t="shared" si="1"/>
        <v>9935.1548142857118</v>
      </c>
    </row>
    <row r="25" spans="1:7" x14ac:dyDescent="0.3">
      <c r="A25" s="157" t="s">
        <v>54</v>
      </c>
      <c r="B25" s="158">
        <v>731.25</v>
      </c>
      <c r="C25" s="266">
        <v>75820796.795066014</v>
      </c>
      <c r="D25" s="266">
        <v>31665234.441407483</v>
      </c>
      <c r="E25" s="266">
        <v>18114161.09872631</v>
      </c>
      <c r="F25" s="159">
        <f t="shared" si="0"/>
        <v>0.41763257285457694</v>
      </c>
      <c r="G25" s="160">
        <f t="shared" si="1"/>
        <v>24771.502357232559</v>
      </c>
    </row>
    <row r="26" spans="1:7" x14ac:dyDescent="0.3">
      <c r="A26" s="157" t="s">
        <v>25</v>
      </c>
      <c r="B26" s="158">
        <v>14</v>
      </c>
      <c r="C26" s="266">
        <v>1103118.06</v>
      </c>
      <c r="D26" s="266">
        <v>453717.15171340003</v>
      </c>
      <c r="E26" s="266">
        <v>164108</v>
      </c>
      <c r="F26" s="159">
        <f t="shared" si="0"/>
        <v>0.4113042548803888</v>
      </c>
      <c r="G26" s="160">
        <f t="shared" si="1"/>
        <v>11722</v>
      </c>
    </row>
    <row r="27" spans="1:7" x14ac:dyDescent="0.3">
      <c r="A27" s="157" t="s">
        <v>26</v>
      </c>
      <c r="B27" s="158">
        <v>21.384615384615387</v>
      </c>
      <c r="C27" s="266">
        <v>2176595.8000000003</v>
      </c>
      <c r="D27" s="266">
        <v>452825.96280000004</v>
      </c>
      <c r="E27" s="266">
        <v>415357.01999999996</v>
      </c>
      <c r="F27" s="159">
        <f t="shared" si="0"/>
        <v>0.20804320342803195</v>
      </c>
      <c r="G27" s="160">
        <f t="shared" si="1"/>
        <v>19423.169999999995</v>
      </c>
    </row>
    <row r="28" spans="1:7" x14ac:dyDescent="0.3">
      <c r="A28" s="157" t="s">
        <v>12</v>
      </c>
      <c r="B28" s="158">
        <v>3.92</v>
      </c>
      <c r="C28" s="266">
        <v>254475.00399999996</v>
      </c>
      <c r="D28" s="266">
        <v>59274.43196400001</v>
      </c>
      <c r="E28" s="266">
        <v>45928.558600000004</v>
      </c>
      <c r="F28" s="159">
        <f t="shared" si="0"/>
        <v>0.23292830742621787</v>
      </c>
      <c r="G28" s="160">
        <f t="shared" si="1"/>
        <v>11716.469030612247</v>
      </c>
    </row>
    <row r="29" spans="1:7" x14ac:dyDescent="0.3">
      <c r="A29" s="157" t="s">
        <v>27</v>
      </c>
      <c r="B29" s="158">
        <v>9</v>
      </c>
      <c r="C29" s="266">
        <v>827045</v>
      </c>
      <c r="D29" s="266">
        <v>386365.18103499996</v>
      </c>
      <c r="E29" s="266">
        <v>113568</v>
      </c>
      <c r="F29" s="159">
        <f t="shared" si="0"/>
        <v>0.46716343250367265</v>
      </c>
      <c r="G29" s="160">
        <f t="shared" si="1"/>
        <v>12618.666666666666</v>
      </c>
    </row>
    <row r="30" spans="1:7" x14ac:dyDescent="0.3">
      <c r="A30" s="157" t="s">
        <v>28</v>
      </c>
      <c r="B30" s="158">
        <v>36</v>
      </c>
      <c r="C30" s="266">
        <v>2802462.0999999992</v>
      </c>
      <c r="D30" s="266">
        <v>1413613.6084289998</v>
      </c>
      <c r="E30" s="266">
        <v>651251.22100000002</v>
      </c>
      <c r="F30" s="159">
        <f t="shared" si="0"/>
        <v>0.50441845705210442</v>
      </c>
      <c r="G30" s="160">
        <f t="shared" si="1"/>
        <v>18090.311694444445</v>
      </c>
    </row>
    <row r="31" spans="1:7" x14ac:dyDescent="0.3">
      <c r="A31" s="157" t="s">
        <v>13</v>
      </c>
      <c r="B31" s="158">
        <v>2</v>
      </c>
      <c r="C31" s="266">
        <v>108154.45999999999</v>
      </c>
      <c r="D31" s="266">
        <v>39335.777102</v>
      </c>
      <c r="E31" s="266">
        <v>41448.378684000003</v>
      </c>
      <c r="F31" s="159">
        <f t="shared" si="0"/>
        <v>0.36370000000000002</v>
      </c>
      <c r="G31" s="160">
        <f t="shared" si="1"/>
        <v>20724.189342000001</v>
      </c>
    </row>
    <row r="32" spans="1:7" x14ac:dyDescent="0.3">
      <c r="A32" s="157" t="s">
        <v>14</v>
      </c>
      <c r="B32" s="158">
        <v>4</v>
      </c>
      <c r="C32" s="266">
        <v>379609.254592966</v>
      </c>
      <c r="D32" s="266">
        <v>118295.1001559375</v>
      </c>
      <c r="E32" s="266">
        <v>121013.50180052262</v>
      </c>
      <c r="F32" s="159">
        <f t="shared" si="0"/>
        <v>0.31162333037106482</v>
      </c>
      <c r="G32" s="160">
        <f t="shared" si="1"/>
        <v>30253.375450130654</v>
      </c>
    </row>
    <row r="33" spans="1:7" x14ac:dyDescent="0.3">
      <c r="A33" s="157" t="s">
        <v>44</v>
      </c>
      <c r="B33" s="158">
        <v>34</v>
      </c>
      <c r="C33" s="266">
        <v>3600563.2000000007</v>
      </c>
      <c r="D33" s="266">
        <v>604070.94016000011</v>
      </c>
      <c r="E33" s="266">
        <v>931581.64112000051</v>
      </c>
      <c r="F33" s="159">
        <f t="shared" si="0"/>
        <v>0.16777123649988979</v>
      </c>
      <c r="G33" s="160">
        <f t="shared" si="1"/>
        <v>27399.460032941191</v>
      </c>
    </row>
    <row r="34" spans="1:7" x14ac:dyDescent="0.3">
      <c r="A34" s="157" t="s">
        <v>29</v>
      </c>
      <c r="B34" s="158">
        <v>11.5</v>
      </c>
      <c r="C34" s="266">
        <v>1186831</v>
      </c>
      <c r="D34" s="266">
        <v>329424.70150000002</v>
      </c>
      <c r="E34" s="266">
        <v>237478.62000000002</v>
      </c>
      <c r="F34" s="159">
        <f t="shared" si="0"/>
        <v>0.27756664723115593</v>
      </c>
      <c r="G34" s="160">
        <f t="shared" si="1"/>
        <v>20650.314782608697</v>
      </c>
    </row>
    <row r="35" spans="1:7" x14ac:dyDescent="0.3">
      <c r="A35" s="157" t="s">
        <v>30</v>
      </c>
      <c r="B35" s="158">
        <v>7</v>
      </c>
      <c r="C35" s="266">
        <v>506536.92652195762</v>
      </c>
      <c r="D35" s="266">
        <v>244454.72073949676</v>
      </c>
      <c r="E35" s="266">
        <v>153249.26999999999</v>
      </c>
      <c r="F35" s="159">
        <f t="shared" si="0"/>
        <v>0.48260000000000003</v>
      </c>
      <c r="G35" s="160">
        <f t="shared" si="1"/>
        <v>21892.752857142856</v>
      </c>
    </row>
    <row r="36" spans="1:7" x14ac:dyDescent="0.3">
      <c r="A36" s="157" t="s">
        <v>55</v>
      </c>
      <c r="B36" s="158">
        <v>192.66682692307694</v>
      </c>
      <c r="C36" s="266">
        <v>17578263.848082297</v>
      </c>
      <c r="D36" s="266">
        <v>7273729.0773588093</v>
      </c>
      <c r="E36" s="266">
        <v>2750511.2903591795</v>
      </c>
      <c r="F36" s="159">
        <f t="shared" si="0"/>
        <v>0.41379109678981968</v>
      </c>
      <c r="G36" s="160">
        <f t="shared" si="1"/>
        <v>14275.998283074092</v>
      </c>
    </row>
    <row r="37" spans="1:7" x14ac:dyDescent="0.3">
      <c r="A37" s="157" t="s">
        <v>31</v>
      </c>
      <c r="B37" s="158">
        <v>30.2</v>
      </c>
      <c r="C37" s="266">
        <v>2881017.3006693441</v>
      </c>
      <c r="D37" s="266">
        <v>1112579.0910753843</v>
      </c>
      <c r="E37" s="266">
        <v>783476.78230031999</v>
      </c>
      <c r="F37" s="159">
        <f t="shared" si="0"/>
        <v>0.38617577576396356</v>
      </c>
      <c r="G37" s="160">
        <f t="shared" si="1"/>
        <v>25942.939811268876</v>
      </c>
    </row>
    <row r="38" spans="1:7" x14ac:dyDescent="0.3">
      <c r="A38" s="157" t="s">
        <v>15</v>
      </c>
      <c r="B38" s="158">
        <v>1.8</v>
      </c>
      <c r="C38" s="266">
        <v>123302.39939999999</v>
      </c>
      <c r="D38" s="266">
        <v>43538.077228139999</v>
      </c>
      <c r="E38" s="266">
        <v>55229.706000000006</v>
      </c>
      <c r="F38" s="159">
        <f t="shared" si="0"/>
        <v>0.35310000000000002</v>
      </c>
      <c r="G38" s="160">
        <f t="shared" si="1"/>
        <v>30683.170000000002</v>
      </c>
    </row>
    <row r="39" spans="1:7" x14ac:dyDescent="0.3">
      <c r="A39" s="157" t="s">
        <v>56</v>
      </c>
      <c r="B39" s="158">
        <v>109.72</v>
      </c>
      <c r="C39" s="266">
        <v>11797781.475200003</v>
      </c>
      <c r="D39" s="266">
        <v>4560319.4051671494</v>
      </c>
      <c r="E39" s="266">
        <v>2544755.0919024991</v>
      </c>
      <c r="F39" s="159">
        <f t="shared" si="0"/>
        <v>0.38654041988770099</v>
      </c>
      <c r="G39" s="160">
        <f t="shared" si="1"/>
        <v>23193.17437023787</v>
      </c>
    </row>
    <row r="40" spans="1:7" x14ac:dyDescent="0.3">
      <c r="A40" s="157" t="s">
        <v>57</v>
      </c>
      <c r="B40" s="158">
        <v>94.460000000000008</v>
      </c>
      <c r="C40" s="266">
        <v>11274717.480799999</v>
      </c>
      <c r="D40" s="266">
        <v>4822946.6434581997</v>
      </c>
      <c r="E40" s="266">
        <v>2369895.2583604259</v>
      </c>
      <c r="F40" s="159">
        <f t="shared" si="0"/>
        <v>0.42776651846676578</v>
      </c>
      <c r="G40" s="160">
        <f t="shared" si="1"/>
        <v>25088.876332420343</v>
      </c>
    </row>
    <row r="41" spans="1:7" x14ac:dyDescent="0.3">
      <c r="A41" s="157" t="s">
        <v>16</v>
      </c>
      <c r="B41" s="158">
        <v>6</v>
      </c>
      <c r="C41" s="266">
        <v>655006.1</v>
      </c>
      <c r="D41" s="266">
        <v>113840.06018</v>
      </c>
      <c r="E41" s="266">
        <v>66058.439660000004</v>
      </c>
      <c r="F41" s="159">
        <f t="shared" si="0"/>
        <v>0.17380000000000001</v>
      </c>
      <c r="G41" s="160">
        <f t="shared" si="1"/>
        <v>11009.739943333334</v>
      </c>
    </row>
    <row r="42" spans="1:7" x14ac:dyDescent="0.3">
      <c r="A42" s="157" t="s">
        <v>58</v>
      </c>
      <c r="B42" s="158">
        <v>125.38999999999999</v>
      </c>
      <c r="C42" s="266">
        <v>12030707.369999999</v>
      </c>
      <c r="D42" s="266">
        <v>3830649.4278787896</v>
      </c>
      <c r="E42" s="266">
        <v>2186594.9430611078</v>
      </c>
      <c r="F42" s="159">
        <f t="shared" si="0"/>
        <v>0.31840600141525927</v>
      </c>
      <c r="G42" s="160">
        <f t="shared" si="1"/>
        <v>17438.351886602664</v>
      </c>
    </row>
    <row r="43" spans="1:7" x14ac:dyDescent="0.3">
      <c r="A43" s="157" t="s">
        <v>59</v>
      </c>
      <c r="B43" s="158">
        <v>164.74999999999991</v>
      </c>
      <c r="C43" s="266">
        <v>16192018.669999991</v>
      </c>
      <c r="D43" s="266">
        <v>8590412.5865362976</v>
      </c>
      <c r="E43" s="266">
        <v>3727581.373867102</v>
      </c>
      <c r="F43" s="159">
        <f t="shared" si="0"/>
        <v>0.5305337624426234</v>
      </c>
      <c r="G43" s="160">
        <f t="shared" si="1"/>
        <v>22625.683604656169</v>
      </c>
    </row>
    <row r="44" spans="1:7" x14ac:dyDescent="0.3">
      <c r="A44" s="157" t="s">
        <v>60</v>
      </c>
      <c r="B44" s="158">
        <v>41</v>
      </c>
      <c r="C44" s="266">
        <v>5302721.2200000007</v>
      </c>
      <c r="D44" s="266">
        <v>1289839.3547680001</v>
      </c>
      <c r="E44" s="266">
        <v>1521601.0280979997</v>
      </c>
      <c r="F44" s="159">
        <f t="shared" si="0"/>
        <v>0.24324102687185956</v>
      </c>
      <c r="G44" s="160">
        <f t="shared" si="1"/>
        <v>37112.220197512186</v>
      </c>
    </row>
    <row r="45" spans="1:7" x14ac:dyDescent="0.3">
      <c r="A45" s="157" t="s">
        <v>45</v>
      </c>
      <c r="B45" s="158">
        <v>33.885000000000005</v>
      </c>
      <c r="C45" s="266">
        <v>3428522.3404000001</v>
      </c>
      <c r="D45" s="266">
        <v>1842960.0285717102</v>
      </c>
      <c r="E45" s="266">
        <v>458788.14420000004</v>
      </c>
      <c r="F45" s="159">
        <f t="shared" si="0"/>
        <v>0.53753770446678639</v>
      </c>
      <c r="G45" s="160">
        <f t="shared" si="1"/>
        <v>13539.564532979193</v>
      </c>
    </row>
    <row r="46" spans="1:7" x14ac:dyDescent="0.3">
      <c r="A46" s="157" t="s">
        <v>32</v>
      </c>
      <c r="B46" s="158">
        <v>19</v>
      </c>
      <c r="C46" s="266">
        <v>2135269</v>
      </c>
      <c r="D46" s="266">
        <v>1047953.6270799999</v>
      </c>
      <c r="E46" s="266">
        <v>240210.37436000013</v>
      </c>
      <c r="F46" s="159">
        <f t="shared" si="0"/>
        <v>0.49078295384796944</v>
      </c>
      <c r="G46" s="160">
        <f t="shared" si="1"/>
        <v>12642.651282105269</v>
      </c>
    </row>
    <row r="47" spans="1:7" x14ac:dyDescent="0.3">
      <c r="A47" s="157" t="s">
        <v>46</v>
      </c>
      <c r="B47" s="158">
        <v>56.900000000000006</v>
      </c>
      <c r="C47" s="266">
        <v>6175896</v>
      </c>
      <c r="D47" s="266">
        <v>2067049.9434999994</v>
      </c>
      <c r="E47" s="266">
        <v>1085083</v>
      </c>
      <c r="F47" s="159">
        <f t="shared" si="0"/>
        <v>0.33469636527234259</v>
      </c>
      <c r="G47" s="160">
        <f t="shared" si="1"/>
        <v>19069.999999999996</v>
      </c>
    </row>
    <row r="48" spans="1:7" x14ac:dyDescent="0.3">
      <c r="A48" s="157" t="s">
        <v>47</v>
      </c>
      <c r="B48" s="158">
        <v>30.875</v>
      </c>
      <c r="C48" s="266">
        <v>3230358.5</v>
      </c>
      <c r="D48" s="266">
        <v>1388647.85775</v>
      </c>
      <c r="E48" s="266">
        <v>478468.77518500003</v>
      </c>
      <c r="F48" s="159">
        <f t="shared" si="0"/>
        <v>0.42987422533752834</v>
      </c>
      <c r="G48" s="160">
        <f t="shared" si="1"/>
        <v>15496.96437846154</v>
      </c>
    </row>
    <row r="49" spans="1:7" x14ac:dyDescent="0.3">
      <c r="A49" s="157" t="s">
        <v>61</v>
      </c>
      <c r="B49" s="158">
        <v>81</v>
      </c>
      <c r="C49" s="266">
        <v>9750814.3444221374</v>
      </c>
      <c r="D49" s="266">
        <v>3403101.1977193593</v>
      </c>
      <c r="E49" s="266">
        <v>1871958.3475856697</v>
      </c>
      <c r="F49" s="159">
        <f t="shared" si="0"/>
        <v>0.34900687035089245</v>
      </c>
      <c r="G49" s="160">
        <f t="shared" si="1"/>
        <v>23110.596883773702</v>
      </c>
    </row>
    <row r="50" spans="1:7" x14ac:dyDescent="0.3">
      <c r="A50" s="157" t="s">
        <v>33</v>
      </c>
      <c r="B50" s="158">
        <v>18</v>
      </c>
      <c r="C50" s="266">
        <v>2065586.731924003</v>
      </c>
      <c r="D50" s="266">
        <v>754802.84258320869</v>
      </c>
      <c r="E50" s="266">
        <v>397273.0408715161</v>
      </c>
      <c r="F50" s="159">
        <f t="shared" si="0"/>
        <v>0.36541813079915708</v>
      </c>
      <c r="G50" s="160">
        <f t="shared" si="1"/>
        <v>22070.724492862006</v>
      </c>
    </row>
    <row r="51" spans="1:7" x14ac:dyDescent="0.3">
      <c r="A51" s="157" t="s">
        <v>34</v>
      </c>
      <c r="B51" s="158">
        <v>21</v>
      </c>
      <c r="C51" s="266">
        <v>1861952.2500000002</v>
      </c>
      <c r="D51" s="266">
        <v>325841.64375000005</v>
      </c>
      <c r="E51" s="266">
        <v>549161.04194020876</v>
      </c>
      <c r="F51" s="159">
        <f t="shared" si="0"/>
        <v>0.17500000000000002</v>
      </c>
      <c r="G51" s="160">
        <f t="shared" si="1"/>
        <v>26150.525806676607</v>
      </c>
    </row>
    <row r="52" spans="1:7" x14ac:dyDescent="0.3">
      <c r="A52" s="157" t="s">
        <v>17</v>
      </c>
      <c r="B52" s="158">
        <v>0.87000000000000011</v>
      </c>
      <c r="C52" s="266">
        <v>61806.540000000008</v>
      </c>
      <c r="D52" s="266">
        <v>23066.200728000003</v>
      </c>
      <c r="E52" s="266">
        <v>23543.657597999998</v>
      </c>
      <c r="F52" s="159">
        <f t="shared" si="0"/>
        <v>0.37320000000000003</v>
      </c>
      <c r="G52" s="160">
        <f t="shared" si="1"/>
        <v>27061.675399999993</v>
      </c>
    </row>
    <row r="53" spans="1:7" x14ac:dyDescent="0.3">
      <c r="A53" s="157" t="s">
        <v>35</v>
      </c>
      <c r="B53" s="158">
        <v>2.7</v>
      </c>
      <c r="C53" s="266">
        <v>265598.75</v>
      </c>
      <c r="D53" s="266">
        <v>120395.913375</v>
      </c>
      <c r="E53" s="266">
        <v>69330.798324999996</v>
      </c>
      <c r="F53" s="159">
        <f t="shared" si="0"/>
        <v>0.45330000000000004</v>
      </c>
      <c r="G53" s="160">
        <f t="shared" si="1"/>
        <v>25678.073453703699</v>
      </c>
    </row>
    <row r="54" spans="1:7" x14ac:dyDescent="0.3">
      <c r="A54" s="157" t="s">
        <v>48</v>
      </c>
      <c r="B54" s="158">
        <v>21</v>
      </c>
      <c r="C54" s="266">
        <v>1935737.8465457188</v>
      </c>
      <c r="D54" s="266">
        <v>955716.35317932558</v>
      </c>
      <c r="E54" s="266">
        <v>459179.75400000002</v>
      </c>
      <c r="F54" s="159">
        <f t="shared" si="0"/>
        <v>0.49372199592252647</v>
      </c>
      <c r="G54" s="160">
        <f t="shared" si="1"/>
        <v>21865.702571428574</v>
      </c>
    </row>
    <row r="55" spans="1:7" x14ac:dyDescent="0.3">
      <c r="A55" s="157" t="s">
        <v>49</v>
      </c>
      <c r="B55" s="158">
        <v>17.5</v>
      </c>
      <c r="C55" s="266">
        <v>1890898.1257360002</v>
      </c>
      <c r="D55" s="266">
        <v>722792.72160100669</v>
      </c>
      <c r="E55" s="266">
        <v>400591.92482846236</v>
      </c>
      <c r="F55" s="159">
        <f t="shared" si="0"/>
        <v>0.38224836746277474</v>
      </c>
      <c r="G55" s="160">
        <f t="shared" si="1"/>
        <v>22890.967133054994</v>
      </c>
    </row>
    <row r="56" spans="1:7" x14ac:dyDescent="0.3">
      <c r="A56" s="157" t="s">
        <v>50</v>
      </c>
      <c r="B56" s="158">
        <v>36.079968000000001</v>
      </c>
      <c r="C56" s="266">
        <v>3689799.7006620006</v>
      </c>
      <c r="D56" s="266">
        <v>1337705.1342177696</v>
      </c>
      <c r="E56" s="266">
        <v>752755.28566069901</v>
      </c>
      <c r="F56" s="159">
        <f t="shared" si="0"/>
        <v>0.36254139594020973</v>
      </c>
      <c r="G56" s="160">
        <f t="shared" si="1"/>
        <v>20863.524204364567</v>
      </c>
    </row>
    <row r="57" spans="1:7" x14ac:dyDescent="0.3">
      <c r="A57" s="157" t="s">
        <v>36</v>
      </c>
      <c r="B57" s="158">
        <v>14</v>
      </c>
      <c r="C57" s="266">
        <v>1151331.49</v>
      </c>
      <c r="D57" s="266">
        <v>499260.14766999998</v>
      </c>
      <c r="E57" s="266">
        <v>342274.86129032256</v>
      </c>
      <c r="F57" s="159">
        <f t="shared" si="0"/>
        <v>0.43363718616781688</v>
      </c>
      <c r="G57" s="160">
        <f t="shared" si="1"/>
        <v>24448.204377880182</v>
      </c>
    </row>
    <row r="58" spans="1:7" x14ac:dyDescent="0.3">
      <c r="A58" s="157" t="s">
        <v>37</v>
      </c>
      <c r="B58" s="158">
        <v>6.9</v>
      </c>
      <c r="C58" s="266">
        <v>681082.2585</v>
      </c>
      <c r="D58" s="266">
        <v>264682.18729826994</v>
      </c>
      <c r="E58" s="266">
        <v>165715.19651699997</v>
      </c>
      <c r="F58" s="159">
        <f t="shared" si="0"/>
        <v>0.38861999999999991</v>
      </c>
      <c r="G58" s="160">
        <f t="shared" si="1"/>
        <v>24016.6951473913</v>
      </c>
    </row>
    <row r="59" spans="1:7" x14ac:dyDescent="0.3">
      <c r="A59" s="157" t="s">
        <v>18</v>
      </c>
      <c r="B59" s="158">
        <v>1</v>
      </c>
      <c r="C59" s="266">
        <v>63147</v>
      </c>
      <c r="D59" s="266">
        <v>31510.352999999999</v>
      </c>
      <c r="E59" s="266">
        <v>10899</v>
      </c>
      <c r="F59" s="159">
        <f t="shared" si="0"/>
        <v>0.499</v>
      </c>
      <c r="G59" s="160">
        <f t="shared" si="1"/>
        <v>10899</v>
      </c>
    </row>
    <row r="60" spans="1:7" x14ac:dyDescent="0.3">
      <c r="A60" s="157" t="s">
        <v>51</v>
      </c>
      <c r="B60" s="158">
        <v>27.25</v>
      </c>
      <c r="C60" s="266">
        <v>2609700.21</v>
      </c>
      <c r="D60" s="266">
        <v>799555.28217299993</v>
      </c>
      <c r="E60" s="266">
        <v>976666.87813309021</v>
      </c>
      <c r="F60" s="159">
        <f t="shared" si="0"/>
        <v>0.3063782112248824</v>
      </c>
      <c r="G60" s="160">
        <f t="shared" si="1"/>
        <v>35840.986353507898</v>
      </c>
    </row>
    <row r="61" spans="1:7" x14ac:dyDescent="0.3">
      <c r="A61" s="157" t="s">
        <v>38</v>
      </c>
      <c r="B61" s="158">
        <v>6</v>
      </c>
      <c r="C61" s="266">
        <v>503605.21</v>
      </c>
      <c r="D61" s="266">
        <v>143779.41713674003</v>
      </c>
      <c r="E61" s="266">
        <v>193654.13419999997</v>
      </c>
      <c r="F61" s="159">
        <f t="shared" si="0"/>
        <v>0.28550025750674823</v>
      </c>
      <c r="G61" s="160">
        <f t="shared" si="1"/>
        <v>32275.689033333329</v>
      </c>
    </row>
    <row r="62" spans="1:7" x14ac:dyDescent="0.3">
      <c r="A62" s="157" t="s">
        <v>52</v>
      </c>
      <c r="B62" s="158">
        <v>45.028800000000004</v>
      </c>
      <c r="C62" s="266">
        <v>5554791.4038160015</v>
      </c>
      <c r="D62" s="266">
        <v>1565326.1948055523</v>
      </c>
      <c r="E62" s="266">
        <v>887006.06112890539</v>
      </c>
      <c r="F62" s="159">
        <f t="shared" si="0"/>
        <v>0.2817974755506053</v>
      </c>
      <c r="G62" s="160">
        <f t="shared" si="1"/>
        <v>19698.638674113132</v>
      </c>
    </row>
    <row r="63" spans="1:7" x14ac:dyDescent="0.3">
      <c r="A63" s="157" t="s">
        <v>39</v>
      </c>
      <c r="B63" s="158">
        <v>15</v>
      </c>
      <c r="C63" s="266">
        <v>1516324.77</v>
      </c>
      <c r="D63" s="266">
        <v>550723.11078413017</v>
      </c>
      <c r="E63" s="266">
        <v>574770.31913999992</v>
      </c>
      <c r="F63" s="159">
        <f t="shared" si="0"/>
        <v>0.36319601293865966</v>
      </c>
      <c r="G63" s="160">
        <f t="shared" si="1"/>
        <v>38318.021275999992</v>
      </c>
    </row>
    <row r="64" spans="1:7" x14ac:dyDescent="0.3">
      <c r="A64" s="157" t="s">
        <v>40</v>
      </c>
      <c r="B64" s="158">
        <v>7</v>
      </c>
      <c r="C64" s="266">
        <v>685965.22</v>
      </c>
      <c r="D64" s="266">
        <v>75936.349854</v>
      </c>
      <c r="E64" s="266">
        <v>152301.83300000001</v>
      </c>
      <c r="F64" s="159">
        <f t="shared" si="0"/>
        <v>0.11070000000000001</v>
      </c>
      <c r="G64" s="160">
        <f t="shared" si="1"/>
        <v>21757.404714285716</v>
      </c>
    </row>
    <row r="65" spans="1:7" s="112" customFormat="1" ht="15" thickBot="1" x14ac:dyDescent="0.35">
      <c r="A65" s="98" t="s">
        <v>174</v>
      </c>
      <c r="B65" s="166">
        <f>SUM(B7:B64)</f>
        <v>2476.953543641026</v>
      </c>
      <c r="C65" s="77">
        <f t="shared" ref="C65:D65" si="2">SUM(C7:C64)</f>
        <v>251857893.27835503</v>
      </c>
      <c r="D65" s="77">
        <f t="shared" si="2"/>
        <v>99305649.805675045</v>
      </c>
      <c r="E65" s="77">
        <f>SUM(E7:E64)</f>
        <v>54150080.456700191</v>
      </c>
      <c r="F65" s="167">
        <f t="shared" si="0"/>
        <v>0.3942923865241808</v>
      </c>
      <c r="G65" s="77">
        <f t="shared" si="1"/>
        <v>21861.564822528591</v>
      </c>
    </row>
    <row r="66" spans="1:7" ht="15" thickTop="1" x14ac:dyDescent="0.3">
      <c r="D66" s="162"/>
      <c r="G66" s="161"/>
    </row>
    <row r="67" spans="1:7" x14ac:dyDescent="0.3">
      <c r="B67" s="163"/>
      <c r="C67" s="163"/>
      <c r="D67" s="163"/>
    </row>
    <row r="68" spans="1:7" x14ac:dyDescent="0.3">
      <c r="D68" s="162"/>
    </row>
  </sheetData>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activeCell="G16" sqref="G16"/>
    </sheetView>
  </sheetViews>
  <sheetFormatPr defaultColWidth="9.21875" defaultRowHeight="14.4" x14ac:dyDescent="0.3"/>
  <cols>
    <col min="1" max="1" width="10.77734375" style="44" bestFit="1" customWidth="1"/>
    <col min="2" max="2" width="15.77734375" style="53" customWidth="1"/>
    <col min="3" max="3" width="1.77734375" style="53" customWidth="1"/>
    <col min="4" max="4" width="17" style="195" customWidth="1"/>
    <col min="5" max="5" width="19.21875" style="54" customWidth="1"/>
    <col min="6" max="6" width="5.21875" style="53" customWidth="1"/>
    <col min="7" max="7" width="15.77734375" style="53" customWidth="1"/>
    <col min="8" max="8" width="18.44140625" style="53" customWidth="1"/>
    <col min="9" max="16384" width="9.21875" style="53"/>
  </cols>
  <sheetData>
    <row r="1" spans="1:10" ht="18" x14ac:dyDescent="0.3">
      <c r="A1" s="46" t="s">
        <v>198</v>
      </c>
      <c r="C1" s="100"/>
    </row>
    <row r="2" spans="1:10" ht="16.05" customHeight="1" x14ac:dyDescent="0.3">
      <c r="A2" s="49" t="s">
        <v>248</v>
      </c>
      <c r="C2" s="51"/>
    </row>
    <row r="3" spans="1:10" ht="15" customHeight="1" x14ac:dyDescent="0.3">
      <c r="C3" s="51"/>
    </row>
    <row r="4" spans="1:10" ht="15" thickBot="1" x14ac:dyDescent="0.35">
      <c r="C4" s="81"/>
      <c r="D4" s="300" t="s">
        <v>232</v>
      </c>
      <c r="E4" s="301"/>
    </row>
    <row r="5" spans="1:10" ht="28.8" x14ac:dyDescent="0.3">
      <c r="A5" s="298" t="s">
        <v>68</v>
      </c>
      <c r="B5" s="309" t="s">
        <v>63</v>
      </c>
      <c r="C5" s="81"/>
      <c r="D5" s="200" t="s">
        <v>203</v>
      </c>
      <c r="E5" s="201" t="s">
        <v>185</v>
      </c>
      <c r="G5" s="311" t="s">
        <v>68</v>
      </c>
      <c r="H5" s="313" t="s">
        <v>100</v>
      </c>
    </row>
    <row r="6" spans="1:10" ht="16.05" customHeight="1" x14ac:dyDescent="0.3">
      <c r="A6" s="299"/>
      <c r="B6" s="310"/>
      <c r="C6" s="81"/>
      <c r="D6" s="78" t="s">
        <v>65</v>
      </c>
      <c r="E6" s="78" t="s">
        <v>1</v>
      </c>
      <c r="G6" s="312"/>
      <c r="H6" s="314"/>
    </row>
    <row r="7" spans="1:10" x14ac:dyDescent="0.3">
      <c r="A7" s="199">
        <v>4</v>
      </c>
      <c r="B7" s="157" t="s">
        <v>53</v>
      </c>
      <c r="C7" s="82"/>
      <c r="D7" s="197">
        <v>1</v>
      </c>
      <c r="E7" s="273">
        <v>302599.23199999996</v>
      </c>
      <c r="G7" s="304">
        <v>1</v>
      </c>
      <c r="H7" s="308">
        <f>AVERAGEIF($A$7:$A$64,1,$E$7:$E$64)</f>
        <v>143214.08755555557</v>
      </c>
      <c r="I7" s="233"/>
      <c r="J7" s="56"/>
    </row>
    <row r="8" spans="1:10" x14ac:dyDescent="0.3">
      <c r="A8" s="199">
        <v>1</v>
      </c>
      <c r="B8" s="157" t="s">
        <v>4</v>
      </c>
      <c r="C8" s="81"/>
      <c r="D8" s="197">
        <v>0.99999999999999989</v>
      </c>
      <c r="E8" s="234">
        <v>140400.05999999997</v>
      </c>
      <c r="G8" s="304"/>
      <c r="H8" s="308"/>
      <c r="I8" s="233"/>
      <c r="J8" s="56"/>
    </row>
    <row r="9" spans="1:10" x14ac:dyDescent="0.3">
      <c r="A9" s="199">
        <v>1</v>
      </c>
      <c r="B9" s="157" t="s">
        <v>5</v>
      </c>
      <c r="D9" s="197">
        <v>1</v>
      </c>
      <c r="E9" s="234">
        <v>165309.56</v>
      </c>
      <c r="G9" s="304">
        <v>2</v>
      </c>
      <c r="H9" s="305">
        <f>AVERAGEIF($A$7:$A$64,2,$E$7:$E$64)</f>
        <v>207427.72710829088</v>
      </c>
      <c r="I9" s="233"/>
      <c r="J9" s="56"/>
    </row>
    <row r="10" spans="1:10" x14ac:dyDescent="0.3">
      <c r="A10" s="199">
        <v>2</v>
      </c>
      <c r="B10" s="157" t="s">
        <v>19</v>
      </c>
      <c r="D10" s="197">
        <v>1</v>
      </c>
      <c r="E10" s="234">
        <v>204602.75</v>
      </c>
      <c r="G10" s="304"/>
      <c r="H10" s="305"/>
      <c r="I10" s="233"/>
      <c r="J10" s="56"/>
    </row>
    <row r="11" spans="1:10" x14ac:dyDescent="0.3">
      <c r="A11" s="199">
        <v>1</v>
      </c>
      <c r="B11" s="157" t="s">
        <v>6</v>
      </c>
      <c r="D11" s="197">
        <v>1</v>
      </c>
      <c r="E11" s="234">
        <v>131249.82</v>
      </c>
      <c r="G11" s="304">
        <v>3</v>
      </c>
      <c r="H11" s="305">
        <f>AVERAGEIF($A$7:$A$64,3,$E$7:$E$64)</f>
        <v>244000.49625956637</v>
      </c>
      <c r="I11" s="233"/>
      <c r="J11" s="56"/>
    </row>
    <row r="12" spans="1:10" x14ac:dyDescent="0.3">
      <c r="A12" s="199">
        <v>1</v>
      </c>
      <c r="B12" s="157" t="s">
        <v>7</v>
      </c>
      <c r="C12" s="83"/>
      <c r="D12" s="197">
        <v>1</v>
      </c>
      <c r="E12" s="234">
        <v>136265</v>
      </c>
      <c r="G12" s="304"/>
      <c r="H12" s="305"/>
      <c r="I12" s="233"/>
      <c r="J12" s="56"/>
    </row>
    <row r="13" spans="1:10" x14ac:dyDescent="0.3">
      <c r="A13" s="199">
        <v>3</v>
      </c>
      <c r="B13" s="157" t="s">
        <v>41</v>
      </c>
      <c r="D13" s="197">
        <v>1</v>
      </c>
      <c r="E13" s="234">
        <v>248613.8</v>
      </c>
      <c r="G13" s="304">
        <v>4</v>
      </c>
      <c r="H13" s="305">
        <f>AVERAGEIF($A$7:$A$64,4,$E$7:$E$64)</f>
        <v>311352.57949999999</v>
      </c>
      <c r="I13" s="233"/>
      <c r="J13" s="56"/>
    </row>
    <row r="14" spans="1:10" ht="15" thickBot="1" x14ac:dyDescent="0.35">
      <c r="A14" s="199">
        <v>1</v>
      </c>
      <c r="B14" s="157" t="s">
        <v>8</v>
      </c>
      <c r="D14" s="197">
        <v>1</v>
      </c>
      <c r="E14" s="234">
        <v>144583.33333333334</v>
      </c>
      <c r="G14" s="306"/>
      <c r="H14" s="307"/>
      <c r="I14" s="233"/>
      <c r="J14" s="56"/>
    </row>
    <row r="15" spans="1:10" x14ac:dyDescent="0.3">
      <c r="A15" s="199">
        <v>2</v>
      </c>
      <c r="B15" s="157" t="s">
        <v>20</v>
      </c>
      <c r="D15" s="197">
        <v>1</v>
      </c>
      <c r="E15" s="234">
        <v>225017</v>
      </c>
      <c r="G15" s="112"/>
      <c r="H15" s="112"/>
      <c r="I15" s="233"/>
    </row>
    <row r="16" spans="1:10" x14ac:dyDescent="0.3">
      <c r="A16" s="199">
        <v>3</v>
      </c>
      <c r="B16" s="157" t="s">
        <v>42</v>
      </c>
      <c r="D16" s="197">
        <v>1</v>
      </c>
      <c r="E16" s="234">
        <v>227661</v>
      </c>
      <c r="I16" s="233"/>
    </row>
    <row r="17" spans="1:9" x14ac:dyDescent="0.3">
      <c r="A17" s="199">
        <v>1</v>
      </c>
      <c r="B17" s="157" t="s">
        <v>9</v>
      </c>
      <c r="D17" s="197">
        <v>1</v>
      </c>
      <c r="E17" s="234">
        <v>120000</v>
      </c>
      <c r="I17" s="233"/>
    </row>
    <row r="18" spans="1:9" x14ac:dyDescent="0.3">
      <c r="A18" s="199">
        <v>2</v>
      </c>
      <c r="B18" s="157" t="s">
        <v>21</v>
      </c>
      <c r="C18" s="83"/>
      <c r="D18" s="197">
        <v>1</v>
      </c>
      <c r="E18" s="234">
        <v>154946.47999999998</v>
      </c>
      <c r="I18" s="233"/>
    </row>
    <row r="19" spans="1:9" x14ac:dyDescent="0.3">
      <c r="A19" s="199">
        <v>2</v>
      </c>
      <c r="B19" s="157" t="s">
        <v>22</v>
      </c>
      <c r="D19" s="197">
        <v>1</v>
      </c>
      <c r="E19" s="234">
        <v>197539.24638240002</v>
      </c>
      <c r="I19" s="233"/>
    </row>
    <row r="20" spans="1:9" x14ac:dyDescent="0.3">
      <c r="A20" s="199">
        <v>1</v>
      </c>
      <c r="B20" s="157" t="s">
        <v>10</v>
      </c>
      <c r="D20" s="197">
        <v>1</v>
      </c>
      <c r="E20" s="234">
        <v>165000</v>
      </c>
      <c r="I20" s="233"/>
    </row>
    <row r="21" spans="1:9" x14ac:dyDescent="0.3">
      <c r="A21" s="199">
        <v>3</v>
      </c>
      <c r="B21" s="157" t="s">
        <v>43</v>
      </c>
      <c r="D21" s="197">
        <v>1</v>
      </c>
      <c r="E21" s="234">
        <v>254608.85267986302</v>
      </c>
      <c r="I21" s="233"/>
    </row>
    <row r="22" spans="1:9" x14ac:dyDescent="0.3">
      <c r="A22" s="199">
        <v>2</v>
      </c>
      <c r="B22" s="157" t="s">
        <v>23</v>
      </c>
      <c r="D22" s="197">
        <v>1</v>
      </c>
      <c r="E22" s="234">
        <v>197612.48</v>
      </c>
      <c r="I22" s="233"/>
    </row>
    <row r="23" spans="1:9" x14ac:dyDescent="0.3">
      <c r="A23" s="199">
        <v>2</v>
      </c>
      <c r="B23" s="157" t="s">
        <v>24</v>
      </c>
      <c r="D23" s="197">
        <v>1</v>
      </c>
      <c r="E23" s="234">
        <v>222868</v>
      </c>
      <c r="I23" s="233"/>
    </row>
    <row r="24" spans="1:9" x14ac:dyDescent="0.3">
      <c r="A24" s="199">
        <v>1</v>
      </c>
      <c r="B24" s="157" t="s">
        <v>11</v>
      </c>
      <c r="D24" s="197">
        <v>1</v>
      </c>
      <c r="E24" s="234">
        <v>147452.31</v>
      </c>
      <c r="I24" s="233"/>
    </row>
    <row r="25" spans="1:9" x14ac:dyDescent="0.3">
      <c r="A25" s="199">
        <v>4</v>
      </c>
      <c r="B25" s="157" t="s">
        <v>54</v>
      </c>
      <c r="D25" s="197">
        <v>1</v>
      </c>
      <c r="E25" s="234">
        <v>425012</v>
      </c>
      <c r="I25" s="233"/>
    </row>
    <row r="26" spans="1:9" x14ac:dyDescent="0.3">
      <c r="A26" s="199">
        <v>2</v>
      </c>
      <c r="B26" s="157" t="s">
        <v>25</v>
      </c>
      <c r="D26" s="197">
        <v>1</v>
      </c>
      <c r="E26" s="234">
        <v>199138.3</v>
      </c>
      <c r="I26" s="233"/>
    </row>
    <row r="27" spans="1:9" x14ac:dyDescent="0.3">
      <c r="A27" s="199">
        <v>2</v>
      </c>
      <c r="B27" s="157" t="s">
        <v>26</v>
      </c>
      <c r="D27" s="197">
        <v>1</v>
      </c>
      <c r="E27" s="234">
        <v>215009.6</v>
      </c>
      <c r="I27" s="233"/>
    </row>
    <row r="28" spans="1:9" x14ac:dyDescent="0.3">
      <c r="A28" s="199">
        <v>1</v>
      </c>
      <c r="B28" s="157" t="s">
        <v>12</v>
      </c>
      <c r="D28" s="197">
        <v>1</v>
      </c>
      <c r="E28" s="234">
        <v>122126.96</v>
      </c>
      <c r="I28" s="233"/>
    </row>
    <row r="29" spans="1:9" x14ac:dyDescent="0.3">
      <c r="A29" s="199">
        <v>2</v>
      </c>
      <c r="B29" s="157" t="s">
        <v>27</v>
      </c>
      <c r="D29" s="197">
        <v>1</v>
      </c>
      <c r="E29" s="234">
        <v>242964.59999999995</v>
      </c>
      <c r="I29" s="233"/>
    </row>
    <row r="30" spans="1:9" x14ac:dyDescent="0.3">
      <c r="A30" s="199">
        <v>2</v>
      </c>
      <c r="B30" s="157" t="s">
        <v>28</v>
      </c>
      <c r="D30" s="197">
        <v>1</v>
      </c>
      <c r="E30" s="234">
        <v>196721.62</v>
      </c>
      <c r="I30" s="233"/>
    </row>
    <row r="31" spans="1:9" x14ac:dyDescent="0.3">
      <c r="A31" s="199">
        <v>1</v>
      </c>
      <c r="B31" s="157" t="s">
        <v>13</v>
      </c>
      <c r="D31" s="197">
        <v>1</v>
      </c>
      <c r="E31" s="234">
        <v>128827.14</v>
      </c>
      <c r="I31" s="233"/>
    </row>
    <row r="32" spans="1:9" x14ac:dyDescent="0.3">
      <c r="A32" s="199">
        <v>1</v>
      </c>
      <c r="B32" s="157" t="s">
        <v>14</v>
      </c>
      <c r="D32" s="197">
        <v>1</v>
      </c>
      <c r="E32" s="234">
        <v>137612.84</v>
      </c>
      <c r="I32" s="233"/>
    </row>
    <row r="33" spans="1:9" x14ac:dyDescent="0.3">
      <c r="A33" s="199">
        <v>3</v>
      </c>
      <c r="B33" s="157" t="s">
        <v>44</v>
      </c>
      <c r="D33" s="197">
        <v>1</v>
      </c>
      <c r="E33" s="234">
        <v>218420.8</v>
      </c>
      <c r="I33" s="233"/>
    </row>
    <row r="34" spans="1:9" x14ac:dyDescent="0.3">
      <c r="A34" s="199">
        <v>2</v>
      </c>
      <c r="B34" s="157" t="s">
        <v>29</v>
      </c>
      <c r="D34" s="197">
        <v>1</v>
      </c>
      <c r="E34" s="234">
        <v>219541</v>
      </c>
      <c r="I34" s="233"/>
    </row>
    <row r="35" spans="1:9" x14ac:dyDescent="0.3">
      <c r="A35" s="199">
        <v>2</v>
      </c>
      <c r="B35" s="157" t="s">
        <v>30</v>
      </c>
      <c r="D35" s="197">
        <v>1</v>
      </c>
      <c r="E35" s="234">
        <v>197539.15</v>
      </c>
      <c r="I35" s="233"/>
    </row>
    <row r="36" spans="1:9" x14ac:dyDescent="0.3">
      <c r="A36" s="199">
        <v>4</v>
      </c>
      <c r="B36" s="157" t="s">
        <v>55</v>
      </c>
      <c r="D36" s="197">
        <v>1</v>
      </c>
      <c r="E36" s="234">
        <v>309004.79999999999</v>
      </c>
      <c r="I36" s="233"/>
    </row>
    <row r="37" spans="1:9" x14ac:dyDescent="0.3">
      <c r="A37" s="199">
        <v>2</v>
      </c>
      <c r="B37" s="157" t="s">
        <v>31</v>
      </c>
      <c r="D37" s="197">
        <v>1</v>
      </c>
      <c r="E37" s="234">
        <v>251837.55999999997</v>
      </c>
      <c r="I37" s="233"/>
    </row>
    <row r="38" spans="1:9" x14ac:dyDescent="0.3">
      <c r="A38" s="199">
        <v>1</v>
      </c>
      <c r="B38" s="157" t="s">
        <v>15</v>
      </c>
      <c r="D38" s="197">
        <v>1</v>
      </c>
      <c r="E38" s="234">
        <v>140000</v>
      </c>
      <c r="I38" s="233"/>
    </row>
    <row r="39" spans="1:9" x14ac:dyDescent="0.3">
      <c r="A39" s="199">
        <v>4</v>
      </c>
      <c r="B39" s="157" t="s">
        <v>56</v>
      </c>
      <c r="D39" s="197">
        <v>1</v>
      </c>
      <c r="E39" s="234">
        <v>271431</v>
      </c>
      <c r="I39" s="233"/>
    </row>
    <row r="40" spans="1:9" x14ac:dyDescent="0.3">
      <c r="A40" s="199">
        <v>4</v>
      </c>
      <c r="B40" s="157" t="s">
        <v>57</v>
      </c>
      <c r="D40" s="197">
        <v>1</v>
      </c>
      <c r="E40" s="234">
        <v>273000</v>
      </c>
      <c r="I40" s="233"/>
    </row>
    <row r="41" spans="1:9" x14ac:dyDescent="0.3">
      <c r="A41" s="199">
        <v>1</v>
      </c>
      <c r="B41" s="157" t="s">
        <v>16</v>
      </c>
      <c r="D41" s="197">
        <v>1</v>
      </c>
      <c r="E41" s="234">
        <v>179485.09</v>
      </c>
      <c r="I41" s="233"/>
    </row>
    <row r="42" spans="1:9" x14ac:dyDescent="0.3">
      <c r="A42" s="199">
        <v>4</v>
      </c>
      <c r="B42" s="157" t="s">
        <v>58</v>
      </c>
      <c r="D42" s="197">
        <v>1</v>
      </c>
      <c r="E42" s="234">
        <v>307234</v>
      </c>
      <c r="I42" s="233"/>
    </row>
    <row r="43" spans="1:9" x14ac:dyDescent="0.3">
      <c r="A43" s="199">
        <v>4</v>
      </c>
      <c r="B43" s="157" t="s">
        <v>59</v>
      </c>
      <c r="D43" s="197">
        <v>1</v>
      </c>
      <c r="E43" s="234">
        <v>307077.58</v>
      </c>
      <c r="I43" s="233"/>
    </row>
    <row r="44" spans="1:9" x14ac:dyDescent="0.3">
      <c r="A44" s="199">
        <v>3</v>
      </c>
      <c r="B44" s="157" t="s">
        <v>60</v>
      </c>
      <c r="D44" s="197">
        <v>1</v>
      </c>
      <c r="E44" s="234">
        <v>266146.15000000002</v>
      </c>
      <c r="I44" s="233"/>
    </row>
    <row r="45" spans="1:9" x14ac:dyDescent="0.3">
      <c r="A45" s="199">
        <v>3</v>
      </c>
      <c r="B45" s="157" t="s">
        <v>45</v>
      </c>
      <c r="D45" s="197">
        <v>1</v>
      </c>
      <c r="E45" s="234">
        <v>251172.96</v>
      </c>
      <c r="I45" s="233"/>
    </row>
    <row r="46" spans="1:9" x14ac:dyDescent="0.3">
      <c r="A46" s="199">
        <v>2</v>
      </c>
      <c r="B46" s="157" t="s">
        <v>32</v>
      </c>
      <c r="D46" s="197">
        <v>1</v>
      </c>
      <c r="E46" s="234">
        <v>235017</v>
      </c>
      <c r="I46" s="233"/>
    </row>
    <row r="47" spans="1:9" x14ac:dyDescent="0.3">
      <c r="A47" s="199">
        <v>3</v>
      </c>
      <c r="B47" s="157" t="s">
        <v>46</v>
      </c>
      <c r="D47" s="197">
        <v>1</v>
      </c>
      <c r="E47" s="234">
        <v>268360</v>
      </c>
      <c r="I47" s="233"/>
    </row>
    <row r="48" spans="1:9" x14ac:dyDescent="0.3">
      <c r="A48" s="199">
        <v>3</v>
      </c>
      <c r="B48" s="157" t="s">
        <v>47</v>
      </c>
      <c r="D48" s="197">
        <v>1</v>
      </c>
      <c r="E48" s="234">
        <v>234484</v>
      </c>
      <c r="I48" s="233"/>
    </row>
    <row r="49" spans="1:9" x14ac:dyDescent="0.3">
      <c r="A49" s="199">
        <v>4</v>
      </c>
      <c r="B49" s="157" t="s">
        <v>61</v>
      </c>
      <c r="D49" s="197">
        <v>1</v>
      </c>
      <c r="E49" s="234">
        <v>295462.02399999998</v>
      </c>
      <c r="I49" s="233"/>
    </row>
    <row r="50" spans="1:9" x14ac:dyDescent="0.3">
      <c r="A50" s="199">
        <v>2</v>
      </c>
      <c r="B50" s="157" t="s">
        <v>33</v>
      </c>
      <c r="D50" s="197">
        <v>1</v>
      </c>
      <c r="E50" s="234">
        <v>220500</v>
      </c>
      <c r="I50" s="233"/>
    </row>
    <row r="51" spans="1:9" x14ac:dyDescent="0.3">
      <c r="A51" s="199">
        <v>2</v>
      </c>
      <c r="B51" s="157" t="s">
        <v>34</v>
      </c>
      <c r="D51" s="197">
        <v>1</v>
      </c>
      <c r="E51" s="234">
        <v>195491.92</v>
      </c>
      <c r="I51" s="233"/>
    </row>
    <row r="52" spans="1:9" x14ac:dyDescent="0.3">
      <c r="A52" s="199">
        <v>1</v>
      </c>
      <c r="B52" s="157" t="s">
        <v>17</v>
      </c>
      <c r="D52" s="197">
        <v>1</v>
      </c>
      <c r="E52" s="234">
        <v>139783.20000000001</v>
      </c>
      <c r="I52" s="233"/>
    </row>
    <row r="53" spans="1:9" x14ac:dyDescent="0.3">
      <c r="A53" s="199">
        <v>2</v>
      </c>
      <c r="B53" s="157" t="s">
        <v>35</v>
      </c>
      <c r="D53" s="197">
        <v>1</v>
      </c>
      <c r="E53" s="234">
        <v>178014</v>
      </c>
      <c r="I53" s="233"/>
    </row>
    <row r="54" spans="1:9" x14ac:dyDescent="0.3">
      <c r="A54" s="199">
        <v>3</v>
      </c>
      <c r="B54" s="157" t="s">
        <v>48</v>
      </c>
      <c r="D54" s="197">
        <v>1</v>
      </c>
      <c r="E54" s="234">
        <v>227028.36519999997</v>
      </c>
      <c r="I54" s="233"/>
    </row>
    <row r="55" spans="1:9" x14ac:dyDescent="0.3">
      <c r="A55" s="199">
        <v>3</v>
      </c>
      <c r="B55" s="157" t="s">
        <v>49</v>
      </c>
      <c r="D55" s="197">
        <v>1</v>
      </c>
      <c r="E55" s="234">
        <v>223203.43515199999</v>
      </c>
      <c r="I55" s="233"/>
    </row>
    <row r="56" spans="1:9" x14ac:dyDescent="0.3">
      <c r="A56" s="199">
        <v>3</v>
      </c>
      <c r="B56" s="157" t="s">
        <v>50</v>
      </c>
      <c r="D56" s="197">
        <v>0.99999899999999997</v>
      </c>
      <c r="E56" s="234">
        <v>251657.24834249998</v>
      </c>
      <c r="I56" s="233"/>
    </row>
    <row r="57" spans="1:9" x14ac:dyDescent="0.3">
      <c r="A57" s="199">
        <v>2</v>
      </c>
      <c r="B57" s="157" t="s">
        <v>36</v>
      </c>
      <c r="D57" s="197">
        <v>1</v>
      </c>
      <c r="E57" s="234">
        <v>202430.96</v>
      </c>
      <c r="I57" s="233"/>
    </row>
    <row r="58" spans="1:9" x14ac:dyDescent="0.3">
      <c r="A58" s="199">
        <v>2</v>
      </c>
      <c r="B58" s="157" t="s">
        <v>37</v>
      </c>
      <c r="D58" s="197">
        <v>1</v>
      </c>
      <c r="E58" s="234">
        <v>187154</v>
      </c>
      <c r="I58" s="233"/>
    </row>
    <row r="59" spans="1:9" x14ac:dyDescent="0.3">
      <c r="A59" s="199">
        <v>1</v>
      </c>
      <c r="B59" s="157" t="s">
        <v>18</v>
      </c>
      <c r="D59" s="197">
        <v>1</v>
      </c>
      <c r="E59" s="234">
        <v>150116</v>
      </c>
      <c r="I59" s="233"/>
    </row>
    <row r="60" spans="1:9" x14ac:dyDescent="0.3">
      <c r="A60" s="199">
        <v>3</v>
      </c>
      <c r="B60" s="157" t="s">
        <v>51</v>
      </c>
      <c r="D60" s="197">
        <v>1</v>
      </c>
      <c r="E60" s="234">
        <v>220064</v>
      </c>
      <c r="I60" s="233"/>
    </row>
    <row r="61" spans="1:9" x14ac:dyDescent="0.3">
      <c r="A61" s="199">
        <v>2</v>
      </c>
      <c r="B61" s="157" t="s">
        <v>38</v>
      </c>
      <c r="D61" s="197">
        <v>1</v>
      </c>
      <c r="E61" s="234">
        <v>174116</v>
      </c>
      <c r="I61" s="233"/>
    </row>
    <row r="62" spans="1:9" x14ac:dyDescent="0.3">
      <c r="A62" s="199">
        <v>3</v>
      </c>
      <c r="B62" s="157" t="s">
        <v>52</v>
      </c>
      <c r="D62" s="197">
        <v>1</v>
      </c>
      <c r="E62" s="234">
        <v>280585.84000000003</v>
      </c>
      <c r="I62" s="233"/>
    </row>
    <row r="63" spans="1:9" x14ac:dyDescent="0.3">
      <c r="A63" s="199">
        <v>2</v>
      </c>
      <c r="B63" s="157" t="s">
        <v>39</v>
      </c>
      <c r="D63" s="197">
        <v>1</v>
      </c>
      <c r="E63" s="234">
        <v>248850.37</v>
      </c>
      <c r="I63" s="233"/>
    </row>
    <row r="64" spans="1:9" x14ac:dyDescent="0.3">
      <c r="A64" s="199">
        <v>2</v>
      </c>
      <c r="B64" s="157" t="s">
        <v>40</v>
      </c>
      <c r="D64" s="197">
        <v>1</v>
      </c>
      <c r="E64" s="234">
        <v>196497.96</v>
      </c>
      <c r="I64" s="233"/>
    </row>
    <row r="65" spans="1:5" ht="15" thickBot="1" x14ac:dyDescent="0.35">
      <c r="A65" s="196"/>
      <c r="B65" s="98" t="s">
        <v>174</v>
      </c>
      <c r="D65" s="198">
        <f>SUM(D7:D64)</f>
        <v>57.999999000000003</v>
      </c>
      <c r="E65" s="77">
        <f>SUM(E7:E64)</f>
        <v>12374448.397090094</v>
      </c>
    </row>
    <row r="66" spans="1:5" ht="15" thickTop="1" x14ac:dyDescent="0.3"/>
  </sheetData>
  <mergeCells count="13">
    <mergeCell ref="G7:G8"/>
    <mergeCell ref="H7:H8"/>
    <mergeCell ref="D4:E4"/>
    <mergeCell ref="A5:A6"/>
    <mergeCell ref="B5:B6"/>
    <mergeCell ref="G5:G6"/>
    <mergeCell ref="H5:H6"/>
    <mergeCell ref="G9:G10"/>
    <mergeCell ref="H9:H10"/>
    <mergeCell ref="G11:G12"/>
    <mergeCell ref="H11:H12"/>
    <mergeCell ref="G13:G14"/>
    <mergeCell ref="H13:H14"/>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Armstrong, Nicholas</cp:lastModifiedBy>
  <cp:lastPrinted>2018-05-30T16:39:51Z</cp:lastPrinted>
  <dcterms:created xsi:type="dcterms:W3CDTF">2012-06-26T18:06:24Z</dcterms:created>
  <dcterms:modified xsi:type="dcterms:W3CDTF">2024-04-04T16:17:27Z</dcterms:modified>
</cp:coreProperties>
</file>